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<sst xmlns="http://schemas.openxmlformats.org/spreadsheetml/2006/main" count="67" uniqueCount="36">
  <si>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</si>
  <si>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</si>
  <si>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</si>
  <si>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age</t>
  </si>
  <si>
    <t>age_units</t>
  </si>
  <si>
    <t>env_biome</t>
  </si>
  <si>
    <t>env_feature</t>
  </si>
  <si>
    <t>host_common_name</t>
  </si>
  <si>
    <t>host_scientific_name</t>
  </si>
  <si>
    <t>host_taxid</t>
  </si>
  <si>
    <t>weight</t>
  </si>
  <si>
    <t>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</si>
  <si>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</si>
  <si>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</si>
  <si>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</si>
  <si>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</si>
  <si>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</si>
  <si>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</si>
  <si>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</si>
  <si>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</si>
  <si>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</si>
  <si>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</si>
  <si>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</si>
  <si>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</si>
  <si>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Host age in appropriate units.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</si>
  <si>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"weeks". The default value is weeks.</t>
  </si>
  <si>
    <t>The value must be a string and must equal "urban biome". The default value is urban biome.</t>
  </si>
  <si>
    <t>The value must be a string and must equal "animal-associated habitat". The default value is animal-associated habitat.</t>
  </si>
  <si>
    <t>The value must be a string and must equal "mouse". The default value is mouse.</t>
  </si>
  <si>
    <t>The value must be a string and must equal "Mus musculus". The default value is Mus musculus.</t>
  </si>
  <si>
    <t>The value must be a string and must equal "10090". The default value is 10090.</t>
  </si>
  <si>
    <t>In grams preferred. 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</si>
  <si>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"g". The default value is g.</t>
  </si>
  <si>
    <t xml:space="preserve">age:
  anyof:
  - allowed:
    - not applicable
    - 'missing: not collected'
    - 'missing: not provided'
    - 'missing: restricted access'
    type: string
  - min_exclusive: '0'
    type: number
  default: 'missing: not provided'
  empty: false
  field_desc: Host age in appropriate units.
  is_phi: false
  required: true
  units: age_units
age_units:
  allowed:
  - weeks
  default: weeks
  empty: false
  is_phi: false
  required: true
  type: string
env_biome:
  allowed:
  - urban biome
  default: urban biome
  empty: false
  is_phi: false
  required: true
  type: string
env_feature:
  allowed:
  - animal-associated habitat
  default: animal-associated habitat
  empty: false
  is_phi: false
  required: true
  type: string
host_common_name:
  allowed:
  - mouse
  default: mouse
  empty: false
  is_phi: false
  required: true
  type: string
host_scientific_name:
  allowed:
  - Mus musculus
  default: Mus musculus
  empty: false
  is_phi: false
  required: true
  type: string
host_taxid:
  allowed:
  - '10090'
  default: '10090'
  empty: false
  is_phi: false
  required: true
  type: string
sample_name:
  empty: false
  is_phi: false
  regex: ^[a-zA-Z0-9\.]+$
  required: true
  type: string
  unique: true
weight:
  anyof:
  - allowed:
    - not applicable
    - 'missing: not collected'
    - 'missing: not provided'
    - 'missing: restricted access'
    type: string
  - min_exclusive: '0'
    type: number
  default: 'missing: not provided'
  empty: false
  field_desc: 'In grams preferred. '
  is_phi: false
  required: true
  units: weight_units
weight_units:
  allowed:
  - g
  default: g
  empty: false
  is_phi: false
  required: true
  type: string
</t>
  </si>
  <si>
    <t xml:space="preserve">0:
  allowed_missing_default_select: ebi_not_provided
  allowed_missing_vals[]:
  - ebi_not_applicable
  - ebi_not_collected
  - ebi_not_provided
  - ebi_restricted
  data_type: number
  default_value: allowed_missing_default
  field_desc: Host age in appropriate units.
  field_name: age
  field_type: continuous
  maximum_comparison: no_comparison
  minimum_comparison: min_exclusive
  minimum_value: '0'
  units: weeks
1:
  categorical_default_select: urban biome
  categorical_values: urban biome
  default_value: categorical_default
  field_name: env_biome
  field_type: categorical
2:
  categorical_default_select: animal-associated habitat
  categorical_values: animal-associated habitat
  default_value: categorical_default
  field_name: env_feature
  field_type: categorical
3:
  categorical_default_select: mouse
  categorical_values: mouse
  default_value: categorical_default
  field_name: host_common_name
  field_type: categorical
4:
  categorical_default_select: Mus musculus
  categorical_values: Mus musculus
  default_value: categorical_default
  field_name: host_scientific_name
  field_type: categorical
5:
  categorical_default_select: '10090'
  categorical_values: '10090'
  default_value: categorical_default
  field_name: host_taxid
  field_type: categorical
6:
  allowed_missing_default_select: ebi_not_provided
  allowed_missing_vals[]:
  - ebi_not_applicable
  - ebi_not_collected
  - ebi_not_provided
  - ebi_restricted
  data_type: number
  default_value: allowed_missing_default
  field_desc: 'In grams preferred. '
  field_name: weight
  field_type: continuous
  maximum_comparison: no_comparison
  minimum_comparison: min_exclusive
  minimum_value: '0'
  units: g
</t>
  </si>
  <si>
    <t>This file was created by the Metadata Wizard v0.3 at 2018-01-05 18:54:48.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</si>
</sst>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2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>
        <f>IF(COUNTBLANK(B2:K2)&lt;&gt;COLUMNS(B2:K2),1,"")</f>
        <v>0</v>
      </c>
      <c r="C2" s="2">
        <f>IF(B2="", "", "missing: not provided")</f>
        <v>0</v>
      </c>
      <c r="D2" s="1">
        <f>IF(B2="", "", "weeks")</f>
        <v>0</v>
      </c>
      <c r="E2" s="1">
        <f>IF(B2="", "", "urban biome")</f>
        <v>0</v>
      </c>
      <c r="F2" s="1">
        <f>IF(B2="", "", "animal-associated habitat")</f>
        <v>0</v>
      </c>
      <c r="G2" s="1">
        <f>IF(B2="", "", "mouse")</f>
        <v>0</v>
      </c>
      <c r="H2" s="1">
        <f>IF(B2="", "", "Mus musculus")</f>
        <v>0</v>
      </c>
      <c r="I2" s="1">
        <f>IF(B2="", "", "10090")</f>
        <v>0</v>
      </c>
      <c r="J2" s="2">
        <f>IF(B2="", "", "missing: not provided")</f>
        <v>0</v>
      </c>
      <c r="K2" s="1">
        <f>IF(B2="", "", "g")</f>
        <v>0</v>
      </c>
    </row>
    <row r="3" spans="1:11">
      <c r="A3">
        <f>IF(COUNTBLANK(B3:K3)&lt;&gt;COLUMNS(B3:K3),2,"")</f>
        <v>0</v>
      </c>
      <c r="C3" s="2">
        <f>IF(B3="", "", "missing: not provided")</f>
        <v>0</v>
      </c>
      <c r="D3" s="1">
        <f>IF(B3="", "", "weeks")</f>
        <v>0</v>
      </c>
      <c r="E3" s="1">
        <f>IF(B3="", "", "urban biome")</f>
        <v>0</v>
      </c>
      <c r="F3" s="1">
        <f>IF(B3="", "", "animal-associated habitat")</f>
        <v>0</v>
      </c>
      <c r="G3" s="1">
        <f>IF(B3="", "", "mouse")</f>
        <v>0</v>
      </c>
      <c r="H3" s="1">
        <f>IF(B3="", "", "Mus musculus")</f>
        <v>0</v>
      </c>
      <c r="I3" s="1">
        <f>IF(B3="", "", "10090")</f>
        <v>0</v>
      </c>
      <c r="J3" s="2">
        <f>IF(B3="", "", "missing: not provided")</f>
        <v>0</v>
      </c>
      <c r="K3" s="1">
        <f>IF(B3="", "", "g")</f>
        <v>0</v>
      </c>
    </row>
    <row r="4" spans="1:11">
      <c r="A4">
        <f>IF(COUNTBLANK(B4:K4)&lt;&gt;COLUMNS(B4:K4),3,"")</f>
        <v>0</v>
      </c>
      <c r="C4" s="2">
        <f>IF(B4="", "", "missing: not provided")</f>
        <v>0</v>
      </c>
      <c r="D4" s="1">
        <f>IF(B4="", "", "weeks")</f>
        <v>0</v>
      </c>
      <c r="E4" s="1">
        <f>IF(B4="", "", "urban biome")</f>
        <v>0</v>
      </c>
      <c r="F4" s="1">
        <f>IF(B4="", "", "animal-associated habitat")</f>
        <v>0</v>
      </c>
      <c r="G4" s="1">
        <f>IF(B4="", "", "mouse")</f>
        <v>0</v>
      </c>
      <c r="H4" s="1">
        <f>IF(B4="", "", "Mus musculus")</f>
        <v>0</v>
      </c>
      <c r="I4" s="1">
        <f>IF(B4="", "", "10090")</f>
        <v>0</v>
      </c>
      <c r="J4" s="2">
        <f>IF(B4="", "", "missing: not provided")</f>
        <v>0</v>
      </c>
      <c r="K4" s="1">
        <f>IF(B4="", "", "g")</f>
        <v>0</v>
      </c>
    </row>
    <row r="5" spans="1:11">
      <c r="A5">
        <f>IF(COUNTBLANK(B5:K5)&lt;&gt;COLUMNS(B5:K5),4,"")</f>
        <v>0</v>
      </c>
      <c r="C5" s="2">
        <f>IF(B5="", "", "missing: not provided")</f>
        <v>0</v>
      </c>
      <c r="D5" s="1">
        <f>IF(B5="", "", "weeks")</f>
        <v>0</v>
      </c>
      <c r="E5" s="1">
        <f>IF(B5="", "", "urban biome")</f>
        <v>0</v>
      </c>
      <c r="F5" s="1">
        <f>IF(B5="", "", "animal-associated habitat")</f>
        <v>0</v>
      </c>
      <c r="G5" s="1">
        <f>IF(B5="", "", "mouse")</f>
        <v>0</v>
      </c>
      <c r="H5" s="1">
        <f>IF(B5="", "", "Mus musculus")</f>
        <v>0</v>
      </c>
      <c r="I5" s="1">
        <f>IF(B5="", "", "10090")</f>
        <v>0</v>
      </c>
      <c r="J5" s="2">
        <f>IF(B5="", "", "missing: not provided")</f>
        <v>0</v>
      </c>
      <c r="K5" s="1">
        <f>IF(B5="", "", "g")</f>
        <v>0</v>
      </c>
    </row>
    <row r="6" spans="1:11">
      <c r="A6">
        <f>IF(COUNTBLANK(B6:K6)&lt;&gt;COLUMNS(B6:K6),5,"")</f>
        <v>0</v>
      </c>
      <c r="C6" s="2">
        <f>IF(B6="", "", "missing: not provided")</f>
        <v>0</v>
      </c>
      <c r="D6" s="1">
        <f>IF(B6="", "", "weeks")</f>
        <v>0</v>
      </c>
      <c r="E6" s="1">
        <f>IF(B6="", "", "urban biome")</f>
        <v>0</v>
      </c>
      <c r="F6" s="1">
        <f>IF(B6="", "", "animal-associated habitat")</f>
        <v>0</v>
      </c>
      <c r="G6" s="1">
        <f>IF(B6="", "", "mouse")</f>
        <v>0</v>
      </c>
      <c r="H6" s="1">
        <f>IF(B6="", "", "Mus musculus")</f>
        <v>0</v>
      </c>
      <c r="I6" s="1">
        <f>IF(B6="", "", "10090")</f>
        <v>0</v>
      </c>
      <c r="J6" s="2">
        <f>IF(B6="", "", "missing: not provided")</f>
        <v>0</v>
      </c>
      <c r="K6" s="1">
        <f>IF(B6="", "", "g")</f>
        <v>0</v>
      </c>
    </row>
    <row r="7" spans="1:11">
      <c r="A7">
        <f>IF(COUNTBLANK(B7:K7)&lt;&gt;COLUMNS(B7:K7),6,"")</f>
        <v>0</v>
      </c>
      <c r="C7" s="2">
        <f>IF(B7="", "", "missing: not provided")</f>
        <v>0</v>
      </c>
      <c r="D7" s="1">
        <f>IF(B7="", "", "weeks")</f>
        <v>0</v>
      </c>
      <c r="E7" s="1">
        <f>IF(B7="", "", "urban biome")</f>
        <v>0</v>
      </c>
      <c r="F7" s="1">
        <f>IF(B7="", "", "animal-associated habitat")</f>
        <v>0</v>
      </c>
      <c r="G7" s="1">
        <f>IF(B7="", "", "mouse")</f>
        <v>0</v>
      </c>
      <c r="H7" s="1">
        <f>IF(B7="", "", "Mus musculus")</f>
        <v>0</v>
      </c>
      <c r="I7" s="1">
        <f>IF(B7="", "", "10090")</f>
        <v>0</v>
      </c>
      <c r="J7" s="2">
        <f>IF(B7="", "", "missing: not provided")</f>
        <v>0</v>
      </c>
      <c r="K7" s="1">
        <f>IF(B7="", "", "g")</f>
        <v>0</v>
      </c>
    </row>
    <row r="8" spans="1:11">
      <c r="A8">
        <f>IF(COUNTBLANK(B8:K8)&lt;&gt;COLUMNS(B8:K8),7,"")</f>
        <v>0</v>
      </c>
      <c r="C8" s="2">
        <f>IF(B8="", "", "missing: not provided")</f>
        <v>0</v>
      </c>
      <c r="D8" s="1">
        <f>IF(B8="", "", "weeks")</f>
        <v>0</v>
      </c>
      <c r="E8" s="1">
        <f>IF(B8="", "", "urban biome")</f>
        <v>0</v>
      </c>
      <c r="F8" s="1">
        <f>IF(B8="", "", "animal-associated habitat")</f>
        <v>0</v>
      </c>
      <c r="G8" s="1">
        <f>IF(B8="", "", "mouse")</f>
        <v>0</v>
      </c>
      <c r="H8" s="1">
        <f>IF(B8="", "", "Mus musculus")</f>
        <v>0</v>
      </c>
      <c r="I8" s="1">
        <f>IF(B8="", "", "10090")</f>
        <v>0</v>
      </c>
      <c r="J8" s="2">
        <f>IF(B8="", "", "missing: not provided")</f>
        <v>0</v>
      </c>
      <c r="K8" s="1">
        <f>IF(B8="", "", "g")</f>
        <v>0</v>
      </c>
    </row>
    <row r="9" spans="1:11">
      <c r="A9">
        <f>IF(COUNTBLANK(B9:K9)&lt;&gt;COLUMNS(B9:K9),8,"")</f>
        <v>0</v>
      </c>
      <c r="C9" s="2">
        <f>IF(B9="", "", "missing: not provided")</f>
        <v>0</v>
      </c>
      <c r="D9" s="1">
        <f>IF(B9="", "", "weeks")</f>
        <v>0</v>
      </c>
      <c r="E9" s="1">
        <f>IF(B9="", "", "urban biome")</f>
        <v>0</v>
      </c>
      <c r="F9" s="1">
        <f>IF(B9="", "", "animal-associated habitat")</f>
        <v>0</v>
      </c>
      <c r="G9" s="1">
        <f>IF(B9="", "", "mouse")</f>
        <v>0</v>
      </c>
      <c r="H9" s="1">
        <f>IF(B9="", "", "Mus musculus")</f>
        <v>0</v>
      </c>
      <c r="I9" s="1">
        <f>IF(B9="", "", "10090")</f>
        <v>0</v>
      </c>
      <c r="J9" s="2">
        <f>IF(B9="", "", "missing: not provided")</f>
        <v>0</v>
      </c>
      <c r="K9" s="1">
        <f>IF(B9="", "", "g")</f>
        <v>0</v>
      </c>
    </row>
    <row r="10" spans="1:11">
      <c r="A10">
        <f>IF(COUNTBLANK(B10:K10)&lt;&gt;COLUMNS(B10:K10),9,"")</f>
        <v>0</v>
      </c>
      <c r="C10" s="2">
        <f>IF(B10="", "", "missing: not provided")</f>
        <v>0</v>
      </c>
      <c r="D10" s="1">
        <f>IF(B10="", "", "weeks")</f>
        <v>0</v>
      </c>
      <c r="E10" s="1">
        <f>IF(B10="", "", "urban biome")</f>
        <v>0</v>
      </c>
      <c r="F10" s="1">
        <f>IF(B10="", "", "animal-associated habitat")</f>
        <v>0</v>
      </c>
      <c r="G10" s="1">
        <f>IF(B10="", "", "mouse")</f>
        <v>0</v>
      </c>
      <c r="H10" s="1">
        <f>IF(B10="", "", "Mus musculus")</f>
        <v>0</v>
      </c>
      <c r="I10" s="1">
        <f>IF(B10="", "", "10090")</f>
        <v>0</v>
      </c>
      <c r="J10" s="2">
        <f>IF(B10="", "", "missing: not provided")</f>
        <v>0</v>
      </c>
      <c r="K10" s="1">
        <f>IF(B10="", "", "g")</f>
        <v>0</v>
      </c>
    </row>
    <row r="11" spans="1:11">
      <c r="A11">
        <f>IF(COUNTBLANK(B11:K11)&lt;&gt;COLUMNS(B11:K11),10,"")</f>
        <v>0</v>
      </c>
      <c r="C11" s="2">
        <f>IF(B11="", "", "missing: not provided")</f>
        <v>0</v>
      </c>
      <c r="D11" s="1">
        <f>IF(B11="", "", "weeks")</f>
        <v>0</v>
      </c>
      <c r="E11" s="1">
        <f>IF(B11="", "", "urban biome")</f>
        <v>0</v>
      </c>
      <c r="F11" s="1">
        <f>IF(B11="", "", "animal-associated habitat")</f>
        <v>0</v>
      </c>
      <c r="G11" s="1">
        <f>IF(B11="", "", "mouse")</f>
        <v>0</v>
      </c>
      <c r="H11" s="1">
        <f>IF(B11="", "", "Mus musculus")</f>
        <v>0</v>
      </c>
      <c r="I11" s="1">
        <f>IF(B11="", "", "10090")</f>
        <v>0</v>
      </c>
      <c r="J11" s="2">
        <f>IF(B11="", "", "missing: not provided")</f>
        <v>0</v>
      </c>
      <c r="K11" s="1">
        <f>IF(B11="", "", "g")</f>
        <v>0</v>
      </c>
    </row>
    <row r="12" spans="1:11">
      <c r="A12">
        <f>IF(COUNTBLANK(B12:K12)&lt;&gt;COLUMNS(B12:K12),11,"")</f>
        <v>0</v>
      </c>
      <c r="C12" s="2">
        <f>IF(B12="", "", "missing: not provided")</f>
        <v>0</v>
      </c>
      <c r="D12" s="1">
        <f>IF(B12="", "", "weeks")</f>
        <v>0</v>
      </c>
      <c r="E12" s="1">
        <f>IF(B12="", "", "urban biome")</f>
        <v>0</v>
      </c>
      <c r="F12" s="1">
        <f>IF(B12="", "", "animal-associated habitat")</f>
        <v>0</v>
      </c>
      <c r="G12" s="1">
        <f>IF(B12="", "", "mouse")</f>
        <v>0</v>
      </c>
      <c r="H12" s="1">
        <f>IF(B12="", "", "Mus musculus")</f>
        <v>0</v>
      </c>
      <c r="I12" s="1">
        <f>IF(B12="", "", "10090")</f>
        <v>0</v>
      </c>
      <c r="J12" s="2">
        <f>IF(B12="", "", "missing: not provided")</f>
        <v>0</v>
      </c>
      <c r="K12" s="1">
        <f>IF(B12="", "", "g")</f>
        <v>0</v>
      </c>
    </row>
    <row r="13" spans="1:11">
      <c r="A13">
        <f>IF(COUNTBLANK(B13:K13)&lt;&gt;COLUMNS(B13:K13),12,"")</f>
        <v>0</v>
      </c>
      <c r="C13" s="2">
        <f>IF(B13="", "", "missing: not provided")</f>
        <v>0</v>
      </c>
      <c r="D13" s="1">
        <f>IF(B13="", "", "weeks")</f>
        <v>0</v>
      </c>
      <c r="E13" s="1">
        <f>IF(B13="", "", "urban biome")</f>
        <v>0</v>
      </c>
      <c r="F13" s="1">
        <f>IF(B13="", "", "animal-associated habitat")</f>
        <v>0</v>
      </c>
      <c r="G13" s="1">
        <f>IF(B13="", "", "mouse")</f>
        <v>0</v>
      </c>
      <c r="H13" s="1">
        <f>IF(B13="", "", "Mus musculus")</f>
        <v>0</v>
      </c>
      <c r="I13" s="1">
        <f>IF(B13="", "", "10090")</f>
        <v>0</v>
      </c>
      <c r="J13" s="2">
        <f>IF(B13="", "", "missing: not provided")</f>
        <v>0</v>
      </c>
      <c r="K13" s="1">
        <f>IF(B13="", "", "g")</f>
        <v>0</v>
      </c>
    </row>
    <row r="14" spans="1:11">
      <c r="A14">
        <f>IF(COUNTBLANK(B14:K14)&lt;&gt;COLUMNS(B14:K14),13,"")</f>
        <v>0</v>
      </c>
      <c r="C14" s="2">
        <f>IF(B14="", "", "missing: not provided")</f>
        <v>0</v>
      </c>
      <c r="D14" s="1">
        <f>IF(B14="", "", "weeks")</f>
        <v>0</v>
      </c>
      <c r="E14" s="1">
        <f>IF(B14="", "", "urban biome")</f>
        <v>0</v>
      </c>
      <c r="F14" s="1">
        <f>IF(B14="", "", "animal-associated habitat")</f>
        <v>0</v>
      </c>
      <c r="G14" s="1">
        <f>IF(B14="", "", "mouse")</f>
        <v>0</v>
      </c>
      <c r="H14" s="1">
        <f>IF(B14="", "", "Mus musculus")</f>
        <v>0</v>
      </c>
      <c r="I14" s="1">
        <f>IF(B14="", "", "10090")</f>
        <v>0</v>
      </c>
      <c r="J14" s="2">
        <f>IF(B14="", "", "missing: not provided")</f>
        <v>0</v>
      </c>
      <c r="K14" s="1">
        <f>IF(B14="", "", "g")</f>
        <v>0</v>
      </c>
    </row>
    <row r="15" spans="1:11">
      <c r="A15">
        <f>IF(COUNTBLANK(B15:K15)&lt;&gt;COLUMNS(B15:K15),14,"")</f>
        <v>0</v>
      </c>
      <c r="C15" s="2">
        <f>IF(B15="", "", "missing: not provided")</f>
        <v>0</v>
      </c>
      <c r="D15" s="1">
        <f>IF(B15="", "", "weeks")</f>
        <v>0</v>
      </c>
      <c r="E15" s="1">
        <f>IF(B15="", "", "urban biome")</f>
        <v>0</v>
      </c>
      <c r="F15" s="1">
        <f>IF(B15="", "", "animal-associated habitat")</f>
        <v>0</v>
      </c>
      <c r="G15" s="1">
        <f>IF(B15="", "", "mouse")</f>
        <v>0</v>
      </c>
      <c r="H15" s="1">
        <f>IF(B15="", "", "Mus musculus")</f>
        <v>0</v>
      </c>
      <c r="I15" s="1">
        <f>IF(B15="", "", "10090")</f>
        <v>0</v>
      </c>
      <c r="J15" s="2">
        <f>IF(B15="", "", "missing: not provided")</f>
        <v>0</v>
      </c>
      <c r="K15" s="1">
        <f>IF(B15="", "", "g")</f>
        <v>0</v>
      </c>
    </row>
    <row r="16" spans="1:11">
      <c r="A16">
        <f>IF(COUNTBLANK(B16:K16)&lt;&gt;COLUMNS(B16:K16),15,"")</f>
        <v>0</v>
      </c>
      <c r="C16" s="2">
        <f>IF(B16="", "", "missing: not provided")</f>
        <v>0</v>
      </c>
      <c r="D16" s="1">
        <f>IF(B16="", "", "weeks")</f>
        <v>0</v>
      </c>
      <c r="E16" s="1">
        <f>IF(B16="", "", "urban biome")</f>
        <v>0</v>
      </c>
      <c r="F16" s="1">
        <f>IF(B16="", "", "animal-associated habitat")</f>
        <v>0</v>
      </c>
      <c r="G16" s="1">
        <f>IF(B16="", "", "mouse")</f>
        <v>0</v>
      </c>
      <c r="H16" s="1">
        <f>IF(B16="", "", "Mus musculus")</f>
        <v>0</v>
      </c>
      <c r="I16" s="1">
        <f>IF(B16="", "", "10090")</f>
        <v>0</v>
      </c>
      <c r="J16" s="2">
        <f>IF(B16="", "", "missing: not provided")</f>
        <v>0</v>
      </c>
      <c r="K16" s="1">
        <f>IF(B16="", "", "g")</f>
        <v>0</v>
      </c>
    </row>
    <row r="17" spans="1:11">
      <c r="A17">
        <f>IF(COUNTBLANK(B17:K17)&lt;&gt;COLUMNS(B17:K17),16,"")</f>
        <v>0</v>
      </c>
      <c r="C17" s="2">
        <f>IF(B17="", "", "missing: not provided")</f>
        <v>0</v>
      </c>
      <c r="D17" s="1">
        <f>IF(B17="", "", "weeks")</f>
        <v>0</v>
      </c>
      <c r="E17" s="1">
        <f>IF(B17="", "", "urban biome")</f>
        <v>0</v>
      </c>
      <c r="F17" s="1">
        <f>IF(B17="", "", "animal-associated habitat")</f>
        <v>0</v>
      </c>
      <c r="G17" s="1">
        <f>IF(B17="", "", "mouse")</f>
        <v>0</v>
      </c>
      <c r="H17" s="1">
        <f>IF(B17="", "", "Mus musculus")</f>
        <v>0</v>
      </c>
      <c r="I17" s="1">
        <f>IF(B17="", "", "10090")</f>
        <v>0</v>
      </c>
      <c r="J17" s="2">
        <f>IF(B17="", "", "missing: not provided")</f>
        <v>0</v>
      </c>
      <c r="K17" s="1">
        <f>IF(B17="", "", "g")</f>
        <v>0</v>
      </c>
    </row>
    <row r="18" spans="1:11">
      <c r="A18">
        <f>IF(COUNTBLANK(B18:K18)&lt;&gt;COLUMNS(B18:K18),17,"")</f>
        <v>0</v>
      </c>
      <c r="C18" s="2">
        <f>IF(B18="", "", "missing: not provided")</f>
        <v>0</v>
      </c>
      <c r="D18" s="1">
        <f>IF(B18="", "", "weeks")</f>
        <v>0</v>
      </c>
      <c r="E18" s="1">
        <f>IF(B18="", "", "urban biome")</f>
        <v>0</v>
      </c>
      <c r="F18" s="1">
        <f>IF(B18="", "", "animal-associated habitat")</f>
        <v>0</v>
      </c>
      <c r="G18" s="1">
        <f>IF(B18="", "", "mouse")</f>
        <v>0</v>
      </c>
      <c r="H18" s="1">
        <f>IF(B18="", "", "Mus musculus")</f>
        <v>0</v>
      </c>
      <c r="I18" s="1">
        <f>IF(B18="", "", "10090")</f>
        <v>0</v>
      </c>
      <c r="J18" s="2">
        <f>IF(B18="", "", "missing: not provided")</f>
        <v>0</v>
      </c>
      <c r="K18" s="1">
        <f>IF(B18="", "", "g")</f>
        <v>0</v>
      </c>
    </row>
    <row r="19" spans="1:11">
      <c r="A19">
        <f>IF(COUNTBLANK(B19:K19)&lt;&gt;COLUMNS(B19:K19),18,"")</f>
        <v>0</v>
      </c>
      <c r="C19" s="2">
        <f>IF(B19="", "", "missing: not provided")</f>
        <v>0</v>
      </c>
      <c r="D19" s="1">
        <f>IF(B19="", "", "weeks")</f>
        <v>0</v>
      </c>
      <c r="E19" s="1">
        <f>IF(B19="", "", "urban biome")</f>
        <v>0</v>
      </c>
      <c r="F19" s="1">
        <f>IF(B19="", "", "animal-associated habitat")</f>
        <v>0</v>
      </c>
      <c r="G19" s="1">
        <f>IF(B19="", "", "mouse")</f>
        <v>0</v>
      </c>
      <c r="H19" s="1">
        <f>IF(B19="", "", "Mus musculus")</f>
        <v>0</v>
      </c>
      <c r="I19" s="1">
        <f>IF(B19="", "", "10090")</f>
        <v>0</v>
      </c>
      <c r="J19" s="2">
        <f>IF(B19="", "", "missing: not provided")</f>
        <v>0</v>
      </c>
      <c r="K19" s="1">
        <f>IF(B19="", "", "g")</f>
        <v>0</v>
      </c>
    </row>
    <row r="20" spans="1:11">
      <c r="A20">
        <f>IF(COUNTBLANK(B20:K20)&lt;&gt;COLUMNS(B20:K20),19,"")</f>
        <v>0</v>
      </c>
      <c r="C20" s="2">
        <f>IF(B20="", "", "missing: not provided")</f>
        <v>0</v>
      </c>
      <c r="D20" s="1">
        <f>IF(B20="", "", "weeks")</f>
        <v>0</v>
      </c>
      <c r="E20" s="1">
        <f>IF(B20="", "", "urban biome")</f>
        <v>0</v>
      </c>
      <c r="F20" s="1">
        <f>IF(B20="", "", "animal-associated habitat")</f>
        <v>0</v>
      </c>
      <c r="G20" s="1">
        <f>IF(B20="", "", "mouse")</f>
        <v>0</v>
      </c>
      <c r="H20" s="1">
        <f>IF(B20="", "", "Mus musculus")</f>
        <v>0</v>
      </c>
      <c r="I20" s="1">
        <f>IF(B20="", "", "10090")</f>
        <v>0</v>
      </c>
      <c r="J20" s="2">
        <f>IF(B20="", "", "missing: not provided")</f>
        <v>0</v>
      </c>
      <c r="K20" s="1">
        <f>IF(B20="", "", "g")</f>
        <v>0</v>
      </c>
    </row>
    <row r="21" spans="1:11">
      <c r="A21">
        <f>IF(COUNTBLANK(B21:K21)&lt;&gt;COLUMNS(B21:K21),20,"")</f>
        <v>0</v>
      </c>
      <c r="C21" s="2">
        <f>IF(B21="", "", "missing: not provided")</f>
        <v>0</v>
      </c>
      <c r="D21" s="1">
        <f>IF(B21="", "", "weeks")</f>
        <v>0</v>
      </c>
      <c r="E21" s="1">
        <f>IF(B21="", "", "urban biome")</f>
        <v>0</v>
      </c>
      <c r="F21" s="1">
        <f>IF(B21="", "", "animal-associated habitat")</f>
        <v>0</v>
      </c>
      <c r="G21" s="1">
        <f>IF(B21="", "", "mouse")</f>
        <v>0</v>
      </c>
      <c r="H21" s="1">
        <f>IF(B21="", "", "Mus musculus")</f>
        <v>0</v>
      </c>
      <c r="I21" s="1">
        <f>IF(B21="", "", "10090")</f>
        <v>0</v>
      </c>
      <c r="J21" s="2">
        <f>IF(B21="", "", "missing: not provided")</f>
        <v>0</v>
      </c>
      <c r="K21" s="1">
        <f>IF(B21="", "", "g")</f>
        <v>0</v>
      </c>
    </row>
    <row r="22" spans="1:11">
      <c r="A22">
        <f>IF(COUNTBLANK(B22:K22)&lt;&gt;COLUMNS(B22:K22),21,"")</f>
        <v>0</v>
      </c>
      <c r="C22" s="2">
        <f>IF(B22="", "", "missing: not provided")</f>
        <v>0</v>
      </c>
      <c r="D22" s="1">
        <f>IF(B22="", "", "weeks")</f>
        <v>0</v>
      </c>
      <c r="E22" s="1">
        <f>IF(B22="", "", "urban biome")</f>
        <v>0</v>
      </c>
      <c r="F22" s="1">
        <f>IF(B22="", "", "animal-associated habitat")</f>
        <v>0</v>
      </c>
      <c r="G22" s="1">
        <f>IF(B22="", "", "mouse")</f>
        <v>0</v>
      </c>
      <c r="H22" s="1">
        <f>IF(B22="", "", "Mus musculus")</f>
        <v>0</v>
      </c>
      <c r="I22" s="1">
        <f>IF(B22="", "", "10090")</f>
        <v>0</v>
      </c>
      <c r="J22" s="2">
        <f>IF(B22="", "", "missing: not provided")</f>
        <v>0</v>
      </c>
      <c r="K22" s="1">
        <f>IF(B22="", "", "g")</f>
        <v>0</v>
      </c>
    </row>
    <row r="23" spans="1:11">
      <c r="A23">
        <f>IF(COUNTBLANK(B23:K23)&lt;&gt;COLUMNS(B23:K23),22,"")</f>
        <v>0</v>
      </c>
      <c r="C23" s="2">
        <f>IF(B23="", "", "missing: not provided")</f>
        <v>0</v>
      </c>
      <c r="D23" s="1">
        <f>IF(B23="", "", "weeks")</f>
        <v>0</v>
      </c>
      <c r="E23" s="1">
        <f>IF(B23="", "", "urban biome")</f>
        <v>0</v>
      </c>
      <c r="F23" s="1">
        <f>IF(B23="", "", "animal-associated habitat")</f>
        <v>0</v>
      </c>
      <c r="G23" s="1">
        <f>IF(B23="", "", "mouse")</f>
        <v>0</v>
      </c>
      <c r="H23" s="1">
        <f>IF(B23="", "", "Mus musculus")</f>
        <v>0</v>
      </c>
      <c r="I23" s="1">
        <f>IF(B23="", "", "10090")</f>
        <v>0</v>
      </c>
      <c r="J23" s="2">
        <f>IF(B23="", "", "missing: not provided")</f>
        <v>0</v>
      </c>
      <c r="K23" s="1">
        <f>IF(B23="", "", "g")</f>
        <v>0</v>
      </c>
    </row>
    <row r="24" spans="1:11">
      <c r="A24">
        <f>IF(COUNTBLANK(B24:K24)&lt;&gt;COLUMNS(B24:K24),23,"")</f>
        <v>0</v>
      </c>
      <c r="C24" s="2">
        <f>IF(B24="", "", "missing: not provided")</f>
        <v>0</v>
      </c>
      <c r="D24" s="1">
        <f>IF(B24="", "", "weeks")</f>
        <v>0</v>
      </c>
      <c r="E24" s="1">
        <f>IF(B24="", "", "urban biome")</f>
        <v>0</v>
      </c>
      <c r="F24" s="1">
        <f>IF(B24="", "", "animal-associated habitat")</f>
        <v>0</v>
      </c>
      <c r="G24" s="1">
        <f>IF(B24="", "", "mouse")</f>
        <v>0</v>
      </c>
      <c r="H24" s="1">
        <f>IF(B24="", "", "Mus musculus")</f>
        <v>0</v>
      </c>
      <c r="I24" s="1">
        <f>IF(B24="", "", "10090")</f>
        <v>0</v>
      </c>
      <c r="J24" s="2">
        <f>IF(B24="", "", "missing: not provided")</f>
        <v>0</v>
      </c>
      <c r="K24" s="1">
        <f>IF(B24="", "", "g")</f>
        <v>0</v>
      </c>
    </row>
    <row r="25" spans="1:11">
      <c r="A25">
        <f>IF(COUNTBLANK(B25:K25)&lt;&gt;COLUMNS(B25:K25),24,"")</f>
        <v>0</v>
      </c>
      <c r="C25" s="2">
        <f>IF(B25="", "", "missing: not provided")</f>
        <v>0</v>
      </c>
      <c r="D25" s="1">
        <f>IF(B25="", "", "weeks")</f>
        <v>0</v>
      </c>
      <c r="E25" s="1">
        <f>IF(B25="", "", "urban biome")</f>
        <v>0</v>
      </c>
      <c r="F25" s="1">
        <f>IF(B25="", "", "animal-associated habitat")</f>
        <v>0</v>
      </c>
      <c r="G25" s="1">
        <f>IF(B25="", "", "mouse")</f>
        <v>0</v>
      </c>
      <c r="H25" s="1">
        <f>IF(B25="", "", "Mus musculus")</f>
        <v>0</v>
      </c>
      <c r="I25" s="1">
        <f>IF(B25="", "", "10090")</f>
        <v>0</v>
      </c>
      <c r="J25" s="2">
        <f>IF(B25="", "", "missing: not provided")</f>
        <v>0</v>
      </c>
      <c r="K25" s="1">
        <f>IF(B25="", "", "g")</f>
        <v>0</v>
      </c>
    </row>
    <row r="26" spans="1:11">
      <c r="A26">
        <f>IF(COUNTBLANK(B26:K26)&lt;&gt;COLUMNS(B26:K26),25,"")</f>
        <v>0</v>
      </c>
      <c r="C26" s="2">
        <f>IF(B26="", "", "missing: not provided")</f>
        <v>0</v>
      </c>
      <c r="D26" s="1">
        <f>IF(B26="", "", "weeks")</f>
        <v>0</v>
      </c>
      <c r="E26" s="1">
        <f>IF(B26="", "", "urban biome")</f>
        <v>0</v>
      </c>
      <c r="F26" s="1">
        <f>IF(B26="", "", "animal-associated habitat")</f>
        <v>0</v>
      </c>
      <c r="G26" s="1">
        <f>IF(B26="", "", "mouse")</f>
        <v>0</v>
      </c>
      <c r="H26" s="1">
        <f>IF(B26="", "", "Mus musculus")</f>
        <v>0</v>
      </c>
      <c r="I26" s="1">
        <f>IF(B26="", "", "10090")</f>
        <v>0</v>
      </c>
      <c r="J26" s="2">
        <f>IF(B26="", "", "missing: not provided")</f>
        <v>0</v>
      </c>
      <c r="K26" s="1">
        <f>IF(B26="", "", "g")</f>
        <v>0</v>
      </c>
    </row>
    <row r="27" spans="1:11">
      <c r="A27">
        <f>IF(COUNTBLANK(B27:K27)&lt;&gt;COLUMNS(B27:K27),26,"")</f>
        <v>0</v>
      </c>
      <c r="C27" s="2">
        <f>IF(B27="", "", "missing: not provided")</f>
        <v>0</v>
      </c>
      <c r="D27" s="1">
        <f>IF(B27="", "", "weeks")</f>
        <v>0</v>
      </c>
      <c r="E27" s="1">
        <f>IF(B27="", "", "urban biome")</f>
        <v>0</v>
      </c>
      <c r="F27" s="1">
        <f>IF(B27="", "", "animal-associated habitat")</f>
        <v>0</v>
      </c>
      <c r="G27" s="1">
        <f>IF(B27="", "", "mouse")</f>
        <v>0</v>
      </c>
      <c r="H27" s="1">
        <f>IF(B27="", "", "Mus musculus")</f>
        <v>0</v>
      </c>
      <c r="I27" s="1">
        <f>IF(B27="", "", "10090")</f>
        <v>0</v>
      </c>
      <c r="J27" s="2">
        <f>IF(B27="", "", "missing: not provided")</f>
        <v>0</v>
      </c>
      <c r="K27" s="1">
        <f>IF(B27="", "", "g")</f>
        <v>0</v>
      </c>
    </row>
    <row r="28" spans="1:11">
      <c r="A28">
        <f>IF(COUNTBLANK(B28:K28)&lt;&gt;COLUMNS(B28:K28),27,"")</f>
        <v>0</v>
      </c>
      <c r="C28" s="2">
        <f>IF(B28="", "", "missing: not provided")</f>
        <v>0</v>
      </c>
      <c r="D28" s="1">
        <f>IF(B28="", "", "weeks")</f>
        <v>0</v>
      </c>
      <c r="E28" s="1">
        <f>IF(B28="", "", "urban biome")</f>
        <v>0</v>
      </c>
      <c r="F28" s="1">
        <f>IF(B28="", "", "animal-associated habitat")</f>
        <v>0</v>
      </c>
      <c r="G28" s="1">
        <f>IF(B28="", "", "mouse")</f>
        <v>0</v>
      </c>
      <c r="H28" s="1">
        <f>IF(B28="", "", "Mus musculus")</f>
        <v>0</v>
      </c>
      <c r="I28" s="1">
        <f>IF(B28="", "", "10090")</f>
        <v>0</v>
      </c>
      <c r="J28" s="2">
        <f>IF(B28="", "", "missing: not provided")</f>
        <v>0</v>
      </c>
      <c r="K28" s="1">
        <f>IF(B28="", "", "g")</f>
        <v>0</v>
      </c>
    </row>
    <row r="29" spans="1:11">
      <c r="A29">
        <f>IF(COUNTBLANK(B29:K29)&lt;&gt;COLUMNS(B29:K29),28,"")</f>
        <v>0</v>
      </c>
      <c r="C29" s="2">
        <f>IF(B29="", "", "missing: not provided")</f>
        <v>0</v>
      </c>
      <c r="D29" s="1">
        <f>IF(B29="", "", "weeks")</f>
        <v>0</v>
      </c>
      <c r="E29" s="1">
        <f>IF(B29="", "", "urban biome")</f>
        <v>0</v>
      </c>
      <c r="F29" s="1">
        <f>IF(B29="", "", "animal-associated habitat")</f>
        <v>0</v>
      </c>
      <c r="G29" s="1">
        <f>IF(B29="", "", "mouse")</f>
        <v>0</v>
      </c>
      <c r="H29" s="1">
        <f>IF(B29="", "", "Mus musculus")</f>
        <v>0</v>
      </c>
      <c r="I29" s="1">
        <f>IF(B29="", "", "10090")</f>
        <v>0</v>
      </c>
      <c r="J29" s="2">
        <f>IF(B29="", "", "missing: not provided")</f>
        <v>0</v>
      </c>
      <c r="K29" s="1">
        <f>IF(B29="", "", "g")</f>
        <v>0</v>
      </c>
    </row>
    <row r="30" spans="1:11">
      <c r="A30">
        <f>IF(COUNTBLANK(B30:K30)&lt;&gt;COLUMNS(B30:K30),29,"")</f>
        <v>0</v>
      </c>
      <c r="C30" s="2">
        <f>IF(B30="", "", "missing: not provided")</f>
        <v>0</v>
      </c>
      <c r="D30" s="1">
        <f>IF(B30="", "", "weeks")</f>
        <v>0</v>
      </c>
      <c r="E30" s="1">
        <f>IF(B30="", "", "urban biome")</f>
        <v>0</v>
      </c>
      <c r="F30" s="1">
        <f>IF(B30="", "", "animal-associated habitat")</f>
        <v>0</v>
      </c>
      <c r="G30" s="1">
        <f>IF(B30="", "", "mouse")</f>
        <v>0</v>
      </c>
      <c r="H30" s="1">
        <f>IF(B30="", "", "Mus musculus")</f>
        <v>0</v>
      </c>
      <c r="I30" s="1">
        <f>IF(B30="", "", "10090")</f>
        <v>0</v>
      </c>
      <c r="J30" s="2">
        <f>IF(B30="", "", "missing: not provided")</f>
        <v>0</v>
      </c>
      <c r="K30" s="1">
        <f>IF(B30="", "", "g")</f>
        <v>0</v>
      </c>
    </row>
    <row r="31" spans="1:11">
      <c r="A31">
        <f>IF(COUNTBLANK(B31:K31)&lt;&gt;COLUMNS(B31:K31),30,"")</f>
        <v>0</v>
      </c>
      <c r="C31" s="2">
        <f>IF(B31="", "", "missing: not provided")</f>
        <v>0</v>
      </c>
      <c r="D31" s="1">
        <f>IF(B31="", "", "weeks")</f>
        <v>0</v>
      </c>
      <c r="E31" s="1">
        <f>IF(B31="", "", "urban biome")</f>
        <v>0</v>
      </c>
      <c r="F31" s="1">
        <f>IF(B31="", "", "animal-associated habitat")</f>
        <v>0</v>
      </c>
      <c r="G31" s="1">
        <f>IF(B31="", "", "mouse")</f>
        <v>0</v>
      </c>
      <c r="H31" s="1">
        <f>IF(B31="", "", "Mus musculus")</f>
        <v>0</v>
      </c>
      <c r="I31" s="1">
        <f>IF(B31="", "", "10090")</f>
        <v>0</v>
      </c>
      <c r="J31" s="2">
        <f>IF(B31="", "", "missing: not provided")</f>
        <v>0</v>
      </c>
      <c r="K31" s="1">
        <f>IF(B31="", "", "g")</f>
        <v>0</v>
      </c>
    </row>
    <row r="32" spans="1:11">
      <c r="A32">
        <f>IF(COUNTBLANK(B32:K32)&lt;&gt;COLUMNS(B32:K32),31,"")</f>
        <v>0</v>
      </c>
      <c r="C32" s="2">
        <f>IF(B32="", "", "missing: not provided")</f>
        <v>0</v>
      </c>
      <c r="D32" s="1">
        <f>IF(B32="", "", "weeks")</f>
        <v>0</v>
      </c>
      <c r="E32" s="1">
        <f>IF(B32="", "", "urban biome")</f>
        <v>0</v>
      </c>
      <c r="F32" s="1">
        <f>IF(B32="", "", "animal-associated habitat")</f>
        <v>0</v>
      </c>
      <c r="G32" s="1">
        <f>IF(B32="", "", "mouse")</f>
        <v>0</v>
      </c>
      <c r="H32" s="1">
        <f>IF(B32="", "", "Mus musculus")</f>
        <v>0</v>
      </c>
      <c r="I32" s="1">
        <f>IF(B32="", "", "10090")</f>
        <v>0</v>
      </c>
      <c r="J32" s="2">
        <f>IF(B32="", "", "missing: not provided")</f>
        <v>0</v>
      </c>
      <c r="K32" s="1">
        <f>IF(B32="", "", "g")</f>
        <v>0</v>
      </c>
    </row>
    <row r="33" spans="1:11">
      <c r="A33">
        <f>IF(COUNTBLANK(B33:K33)&lt;&gt;COLUMNS(B33:K33),32,"")</f>
        <v>0</v>
      </c>
      <c r="C33" s="2">
        <f>IF(B33="", "", "missing: not provided")</f>
        <v>0</v>
      </c>
      <c r="D33" s="1">
        <f>IF(B33="", "", "weeks")</f>
        <v>0</v>
      </c>
      <c r="E33" s="1">
        <f>IF(B33="", "", "urban biome")</f>
        <v>0</v>
      </c>
      <c r="F33" s="1">
        <f>IF(B33="", "", "animal-associated habitat")</f>
        <v>0</v>
      </c>
      <c r="G33" s="1">
        <f>IF(B33="", "", "mouse")</f>
        <v>0</v>
      </c>
      <c r="H33" s="1">
        <f>IF(B33="", "", "Mus musculus")</f>
        <v>0</v>
      </c>
      <c r="I33" s="1">
        <f>IF(B33="", "", "10090")</f>
        <v>0</v>
      </c>
      <c r="J33" s="2">
        <f>IF(B33="", "", "missing: not provided")</f>
        <v>0</v>
      </c>
      <c r="K33" s="1">
        <f>IF(B33="", "", "g")</f>
        <v>0</v>
      </c>
    </row>
    <row r="34" spans="1:11">
      <c r="A34">
        <f>IF(COUNTBLANK(B34:K34)&lt;&gt;COLUMNS(B34:K34),33,"")</f>
        <v>0</v>
      </c>
      <c r="C34" s="2">
        <f>IF(B34="", "", "missing: not provided")</f>
        <v>0</v>
      </c>
      <c r="D34" s="1">
        <f>IF(B34="", "", "weeks")</f>
        <v>0</v>
      </c>
      <c r="E34" s="1">
        <f>IF(B34="", "", "urban biome")</f>
        <v>0</v>
      </c>
      <c r="F34" s="1">
        <f>IF(B34="", "", "animal-associated habitat")</f>
        <v>0</v>
      </c>
      <c r="G34" s="1">
        <f>IF(B34="", "", "mouse")</f>
        <v>0</v>
      </c>
      <c r="H34" s="1">
        <f>IF(B34="", "", "Mus musculus")</f>
        <v>0</v>
      </c>
      <c r="I34" s="1">
        <f>IF(B34="", "", "10090")</f>
        <v>0</v>
      </c>
      <c r="J34" s="2">
        <f>IF(B34="", "", "missing: not provided")</f>
        <v>0</v>
      </c>
      <c r="K34" s="1">
        <f>IF(B34="", "", "g")</f>
        <v>0</v>
      </c>
    </row>
    <row r="35" spans="1:11">
      <c r="A35">
        <f>IF(COUNTBLANK(B35:K35)&lt;&gt;COLUMNS(B35:K35),34,"")</f>
        <v>0</v>
      </c>
      <c r="C35" s="2">
        <f>IF(B35="", "", "missing: not provided")</f>
        <v>0</v>
      </c>
      <c r="D35" s="1">
        <f>IF(B35="", "", "weeks")</f>
        <v>0</v>
      </c>
      <c r="E35" s="1">
        <f>IF(B35="", "", "urban biome")</f>
        <v>0</v>
      </c>
      <c r="F35" s="1">
        <f>IF(B35="", "", "animal-associated habitat")</f>
        <v>0</v>
      </c>
      <c r="G35" s="1">
        <f>IF(B35="", "", "mouse")</f>
        <v>0</v>
      </c>
      <c r="H35" s="1">
        <f>IF(B35="", "", "Mus musculus")</f>
        <v>0</v>
      </c>
      <c r="I35" s="1">
        <f>IF(B35="", "", "10090")</f>
        <v>0</v>
      </c>
      <c r="J35" s="2">
        <f>IF(B35="", "", "missing: not provided")</f>
        <v>0</v>
      </c>
      <c r="K35" s="1">
        <f>IF(B35="", "", "g")</f>
        <v>0</v>
      </c>
    </row>
    <row r="36" spans="1:11">
      <c r="A36">
        <f>IF(COUNTBLANK(B36:K36)&lt;&gt;COLUMNS(B36:K36),35,"")</f>
        <v>0</v>
      </c>
      <c r="C36" s="2">
        <f>IF(B36="", "", "missing: not provided")</f>
        <v>0</v>
      </c>
      <c r="D36" s="1">
        <f>IF(B36="", "", "weeks")</f>
        <v>0</v>
      </c>
      <c r="E36" s="1">
        <f>IF(B36="", "", "urban biome")</f>
        <v>0</v>
      </c>
      <c r="F36" s="1">
        <f>IF(B36="", "", "animal-associated habitat")</f>
        <v>0</v>
      </c>
      <c r="G36" s="1">
        <f>IF(B36="", "", "mouse")</f>
        <v>0</v>
      </c>
      <c r="H36" s="1">
        <f>IF(B36="", "", "Mus musculus")</f>
        <v>0</v>
      </c>
      <c r="I36" s="1">
        <f>IF(B36="", "", "10090")</f>
        <v>0</v>
      </c>
      <c r="J36" s="2">
        <f>IF(B36="", "", "missing: not provided")</f>
        <v>0</v>
      </c>
      <c r="K36" s="1">
        <f>IF(B36="", "", "g")</f>
        <v>0</v>
      </c>
    </row>
    <row r="37" spans="1:11">
      <c r="A37">
        <f>IF(COUNTBLANK(B37:K37)&lt;&gt;COLUMNS(B37:K37),36,"")</f>
        <v>0</v>
      </c>
      <c r="C37" s="2">
        <f>IF(B37="", "", "missing: not provided")</f>
        <v>0</v>
      </c>
      <c r="D37" s="1">
        <f>IF(B37="", "", "weeks")</f>
        <v>0</v>
      </c>
      <c r="E37" s="1">
        <f>IF(B37="", "", "urban biome")</f>
        <v>0</v>
      </c>
      <c r="F37" s="1">
        <f>IF(B37="", "", "animal-associated habitat")</f>
        <v>0</v>
      </c>
      <c r="G37" s="1">
        <f>IF(B37="", "", "mouse")</f>
        <v>0</v>
      </c>
      <c r="H37" s="1">
        <f>IF(B37="", "", "Mus musculus")</f>
        <v>0</v>
      </c>
      <c r="I37" s="1">
        <f>IF(B37="", "", "10090")</f>
        <v>0</v>
      </c>
      <c r="J37" s="2">
        <f>IF(B37="", "", "missing: not provided")</f>
        <v>0</v>
      </c>
      <c r="K37" s="1">
        <f>IF(B37="", "", "g")</f>
        <v>0</v>
      </c>
    </row>
    <row r="38" spans="1:11">
      <c r="A38">
        <f>IF(COUNTBLANK(B38:K38)&lt;&gt;COLUMNS(B38:K38),37,"")</f>
        <v>0</v>
      </c>
      <c r="C38" s="2">
        <f>IF(B38="", "", "missing: not provided")</f>
        <v>0</v>
      </c>
      <c r="D38" s="1">
        <f>IF(B38="", "", "weeks")</f>
        <v>0</v>
      </c>
      <c r="E38" s="1">
        <f>IF(B38="", "", "urban biome")</f>
        <v>0</v>
      </c>
      <c r="F38" s="1">
        <f>IF(B38="", "", "animal-associated habitat")</f>
        <v>0</v>
      </c>
      <c r="G38" s="1">
        <f>IF(B38="", "", "mouse")</f>
        <v>0</v>
      </c>
      <c r="H38" s="1">
        <f>IF(B38="", "", "Mus musculus")</f>
        <v>0</v>
      </c>
      <c r="I38" s="1">
        <f>IF(B38="", "", "10090")</f>
        <v>0</v>
      </c>
      <c r="J38" s="2">
        <f>IF(B38="", "", "missing: not provided")</f>
        <v>0</v>
      </c>
      <c r="K38" s="1">
        <f>IF(B38="", "", "g")</f>
        <v>0</v>
      </c>
    </row>
    <row r="39" spans="1:11">
      <c r="A39">
        <f>IF(COUNTBLANK(B39:K39)&lt;&gt;COLUMNS(B39:K39),38,"")</f>
        <v>0</v>
      </c>
      <c r="C39" s="2">
        <f>IF(B39="", "", "missing: not provided")</f>
        <v>0</v>
      </c>
      <c r="D39" s="1">
        <f>IF(B39="", "", "weeks")</f>
        <v>0</v>
      </c>
      <c r="E39" s="1">
        <f>IF(B39="", "", "urban biome")</f>
        <v>0</v>
      </c>
      <c r="F39" s="1">
        <f>IF(B39="", "", "animal-associated habitat")</f>
        <v>0</v>
      </c>
      <c r="G39" s="1">
        <f>IF(B39="", "", "mouse")</f>
        <v>0</v>
      </c>
      <c r="H39" s="1">
        <f>IF(B39="", "", "Mus musculus")</f>
        <v>0</v>
      </c>
      <c r="I39" s="1">
        <f>IF(B39="", "", "10090")</f>
        <v>0</v>
      </c>
      <c r="J39" s="2">
        <f>IF(B39="", "", "missing: not provided")</f>
        <v>0</v>
      </c>
      <c r="K39" s="1">
        <f>IF(B39="", "", "g")</f>
        <v>0</v>
      </c>
    </row>
    <row r="40" spans="1:11">
      <c r="A40">
        <f>IF(COUNTBLANK(B40:K40)&lt;&gt;COLUMNS(B40:K40),39,"")</f>
        <v>0</v>
      </c>
      <c r="C40" s="2">
        <f>IF(B40="", "", "missing: not provided")</f>
        <v>0</v>
      </c>
      <c r="D40" s="1">
        <f>IF(B40="", "", "weeks")</f>
        <v>0</v>
      </c>
      <c r="E40" s="1">
        <f>IF(B40="", "", "urban biome")</f>
        <v>0</v>
      </c>
      <c r="F40" s="1">
        <f>IF(B40="", "", "animal-associated habitat")</f>
        <v>0</v>
      </c>
      <c r="G40" s="1">
        <f>IF(B40="", "", "mouse")</f>
        <v>0</v>
      </c>
      <c r="H40" s="1">
        <f>IF(B40="", "", "Mus musculus")</f>
        <v>0</v>
      </c>
      <c r="I40" s="1">
        <f>IF(B40="", "", "10090")</f>
        <v>0</v>
      </c>
      <c r="J40" s="2">
        <f>IF(B40="", "", "missing: not provided")</f>
        <v>0</v>
      </c>
      <c r="K40" s="1">
        <f>IF(B40="", "", "g")</f>
        <v>0</v>
      </c>
    </row>
    <row r="41" spans="1:11">
      <c r="A41">
        <f>IF(COUNTBLANK(B41:K41)&lt;&gt;COLUMNS(B41:K41),40,"")</f>
        <v>0</v>
      </c>
      <c r="C41" s="2">
        <f>IF(B41="", "", "missing: not provided")</f>
        <v>0</v>
      </c>
      <c r="D41" s="1">
        <f>IF(B41="", "", "weeks")</f>
        <v>0</v>
      </c>
      <c r="E41" s="1">
        <f>IF(B41="", "", "urban biome")</f>
        <v>0</v>
      </c>
      <c r="F41" s="1">
        <f>IF(B41="", "", "animal-associated habitat")</f>
        <v>0</v>
      </c>
      <c r="G41" s="1">
        <f>IF(B41="", "", "mouse")</f>
        <v>0</v>
      </c>
      <c r="H41" s="1">
        <f>IF(B41="", "", "Mus musculus")</f>
        <v>0</v>
      </c>
      <c r="I41" s="1">
        <f>IF(B41="", "", "10090")</f>
        <v>0</v>
      </c>
      <c r="J41" s="2">
        <f>IF(B41="", "", "missing: not provided")</f>
        <v>0</v>
      </c>
      <c r="K41" s="1">
        <f>IF(B41="", "", "g")</f>
        <v>0</v>
      </c>
    </row>
    <row r="42" spans="1:11">
      <c r="A42">
        <f>IF(COUNTBLANK(B42:K42)&lt;&gt;COLUMNS(B42:K42),41,"")</f>
        <v>0</v>
      </c>
      <c r="C42" s="2">
        <f>IF(B42="", "", "missing: not provided")</f>
        <v>0</v>
      </c>
      <c r="D42" s="1">
        <f>IF(B42="", "", "weeks")</f>
        <v>0</v>
      </c>
      <c r="E42" s="1">
        <f>IF(B42="", "", "urban biome")</f>
        <v>0</v>
      </c>
      <c r="F42" s="1">
        <f>IF(B42="", "", "animal-associated habitat")</f>
        <v>0</v>
      </c>
      <c r="G42" s="1">
        <f>IF(B42="", "", "mouse")</f>
        <v>0</v>
      </c>
      <c r="H42" s="1">
        <f>IF(B42="", "", "Mus musculus")</f>
        <v>0</v>
      </c>
      <c r="I42" s="1">
        <f>IF(B42="", "", "10090")</f>
        <v>0</v>
      </c>
      <c r="J42" s="2">
        <f>IF(B42="", "", "missing: not provided")</f>
        <v>0</v>
      </c>
      <c r="K42" s="1">
        <f>IF(B42="", "", "g")</f>
        <v>0</v>
      </c>
    </row>
    <row r="43" spans="1:11">
      <c r="A43">
        <f>IF(COUNTBLANK(B43:K43)&lt;&gt;COLUMNS(B43:K43),42,"")</f>
        <v>0</v>
      </c>
      <c r="C43" s="2">
        <f>IF(B43="", "", "missing: not provided")</f>
        <v>0</v>
      </c>
      <c r="D43" s="1">
        <f>IF(B43="", "", "weeks")</f>
        <v>0</v>
      </c>
      <c r="E43" s="1">
        <f>IF(B43="", "", "urban biome")</f>
        <v>0</v>
      </c>
      <c r="F43" s="1">
        <f>IF(B43="", "", "animal-associated habitat")</f>
        <v>0</v>
      </c>
      <c r="G43" s="1">
        <f>IF(B43="", "", "mouse")</f>
        <v>0</v>
      </c>
      <c r="H43" s="1">
        <f>IF(B43="", "", "Mus musculus")</f>
        <v>0</v>
      </c>
      <c r="I43" s="1">
        <f>IF(B43="", "", "10090")</f>
        <v>0</v>
      </c>
      <c r="J43" s="2">
        <f>IF(B43="", "", "missing: not provided")</f>
        <v>0</v>
      </c>
      <c r="K43" s="1">
        <f>IF(B43="", "", "g")</f>
        <v>0</v>
      </c>
    </row>
    <row r="44" spans="1:11">
      <c r="A44">
        <f>IF(COUNTBLANK(B44:K44)&lt;&gt;COLUMNS(B44:K44),43,"")</f>
        <v>0</v>
      </c>
      <c r="C44" s="2">
        <f>IF(B44="", "", "missing: not provided")</f>
        <v>0</v>
      </c>
      <c r="D44" s="1">
        <f>IF(B44="", "", "weeks")</f>
        <v>0</v>
      </c>
      <c r="E44" s="1">
        <f>IF(B44="", "", "urban biome")</f>
        <v>0</v>
      </c>
      <c r="F44" s="1">
        <f>IF(B44="", "", "animal-associated habitat")</f>
        <v>0</v>
      </c>
      <c r="G44" s="1">
        <f>IF(B44="", "", "mouse")</f>
        <v>0</v>
      </c>
      <c r="H44" s="1">
        <f>IF(B44="", "", "Mus musculus")</f>
        <v>0</v>
      </c>
      <c r="I44" s="1">
        <f>IF(B44="", "", "10090")</f>
        <v>0</v>
      </c>
      <c r="J44" s="2">
        <f>IF(B44="", "", "missing: not provided")</f>
        <v>0</v>
      </c>
      <c r="K44" s="1">
        <f>IF(B44="", "", "g")</f>
        <v>0</v>
      </c>
    </row>
    <row r="45" spans="1:11">
      <c r="A45">
        <f>IF(COUNTBLANK(B45:K45)&lt;&gt;COLUMNS(B45:K45),44,"")</f>
        <v>0</v>
      </c>
      <c r="C45" s="2">
        <f>IF(B45="", "", "missing: not provided")</f>
        <v>0</v>
      </c>
      <c r="D45" s="1">
        <f>IF(B45="", "", "weeks")</f>
        <v>0</v>
      </c>
      <c r="E45" s="1">
        <f>IF(B45="", "", "urban biome")</f>
        <v>0</v>
      </c>
      <c r="F45" s="1">
        <f>IF(B45="", "", "animal-associated habitat")</f>
        <v>0</v>
      </c>
      <c r="G45" s="1">
        <f>IF(B45="", "", "mouse")</f>
        <v>0</v>
      </c>
      <c r="H45" s="1">
        <f>IF(B45="", "", "Mus musculus")</f>
        <v>0</v>
      </c>
      <c r="I45" s="1">
        <f>IF(B45="", "", "10090")</f>
        <v>0</v>
      </c>
      <c r="J45" s="2">
        <f>IF(B45="", "", "missing: not provided")</f>
        <v>0</v>
      </c>
      <c r="K45" s="1">
        <f>IF(B45="", "", "g")</f>
        <v>0</v>
      </c>
    </row>
    <row r="46" spans="1:11">
      <c r="A46">
        <f>IF(COUNTBLANK(B46:K46)&lt;&gt;COLUMNS(B46:K46),45,"")</f>
        <v>0</v>
      </c>
      <c r="C46" s="2">
        <f>IF(B46="", "", "missing: not provided")</f>
        <v>0</v>
      </c>
      <c r="D46" s="1">
        <f>IF(B46="", "", "weeks")</f>
        <v>0</v>
      </c>
      <c r="E46" s="1">
        <f>IF(B46="", "", "urban biome")</f>
        <v>0</v>
      </c>
      <c r="F46" s="1">
        <f>IF(B46="", "", "animal-associated habitat")</f>
        <v>0</v>
      </c>
      <c r="G46" s="1">
        <f>IF(B46="", "", "mouse")</f>
        <v>0</v>
      </c>
      <c r="H46" s="1">
        <f>IF(B46="", "", "Mus musculus")</f>
        <v>0</v>
      </c>
      <c r="I46" s="1">
        <f>IF(B46="", "", "10090")</f>
        <v>0</v>
      </c>
      <c r="J46" s="2">
        <f>IF(B46="", "", "missing: not provided")</f>
        <v>0</v>
      </c>
      <c r="K46" s="1">
        <f>IF(B46="", "", "g")</f>
        <v>0</v>
      </c>
    </row>
    <row r="47" spans="1:11">
      <c r="A47">
        <f>IF(COUNTBLANK(B47:K47)&lt;&gt;COLUMNS(B47:K47),46,"")</f>
        <v>0</v>
      </c>
      <c r="C47" s="2">
        <f>IF(B47="", "", "missing: not provided")</f>
        <v>0</v>
      </c>
      <c r="D47" s="1">
        <f>IF(B47="", "", "weeks")</f>
        <v>0</v>
      </c>
      <c r="E47" s="1">
        <f>IF(B47="", "", "urban biome")</f>
        <v>0</v>
      </c>
      <c r="F47" s="1">
        <f>IF(B47="", "", "animal-associated habitat")</f>
        <v>0</v>
      </c>
      <c r="G47" s="1">
        <f>IF(B47="", "", "mouse")</f>
        <v>0</v>
      </c>
      <c r="H47" s="1">
        <f>IF(B47="", "", "Mus musculus")</f>
        <v>0</v>
      </c>
      <c r="I47" s="1">
        <f>IF(B47="", "", "10090")</f>
        <v>0</v>
      </c>
      <c r="J47" s="2">
        <f>IF(B47="", "", "missing: not provided")</f>
        <v>0</v>
      </c>
      <c r="K47" s="1">
        <f>IF(B47="", "", "g")</f>
        <v>0</v>
      </c>
    </row>
    <row r="48" spans="1:11">
      <c r="A48">
        <f>IF(COUNTBLANK(B48:K48)&lt;&gt;COLUMNS(B48:K48),47,"")</f>
        <v>0</v>
      </c>
      <c r="C48" s="2">
        <f>IF(B48="", "", "missing: not provided")</f>
        <v>0</v>
      </c>
      <c r="D48" s="1">
        <f>IF(B48="", "", "weeks")</f>
        <v>0</v>
      </c>
      <c r="E48" s="1">
        <f>IF(B48="", "", "urban biome")</f>
        <v>0</v>
      </c>
      <c r="F48" s="1">
        <f>IF(B48="", "", "animal-associated habitat")</f>
        <v>0</v>
      </c>
      <c r="G48" s="1">
        <f>IF(B48="", "", "mouse")</f>
        <v>0</v>
      </c>
      <c r="H48" s="1">
        <f>IF(B48="", "", "Mus musculus")</f>
        <v>0</v>
      </c>
      <c r="I48" s="1">
        <f>IF(B48="", "", "10090")</f>
        <v>0</v>
      </c>
      <c r="J48" s="2">
        <f>IF(B48="", "", "missing: not provided")</f>
        <v>0</v>
      </c>
      <c r="K48" s="1">
        <f>IF(B48="", "", "g")</f>
        <v>0</v>
      </c>
    </row>
    <row r="49" spans="1:11">
      <c r="A49">
        <f>IF(COUNTBLANK(B49:K49)&lt;&gt;COLUMNS(B49:K49),48,"")</f>
        <v>0</v>
      </c>
      <c r="C49" s="2">
        <f>IF(B49="", "", "missing: not provided")</f>
        <v>0</v>
      </c>
      <c r="D49" s="1">
        <f>IF(B49="", "", "weeks")</f>
        <v>0</v>
      </c>
      <c r="E49" s="1">
        <f>IF(B49="", "", "urban biome")</f>
        <v>0</v>
      </c>
      <c r="F49" s="1">
        <f>IF(B49="", "", "animal-associated habitat")</f>
        <v>0</v>
      </c>
      <c r="G49" s="1">
        <f>IF(B49="", "", "mouse")</f>
        <v>0</v>
      </c>
      <c r="H49" s="1">
        <f>IF(B49="", "", "Mus musculus")</f>
        <v>0</v>
      </c>
      <c r="I49" s="1">
        <f>IF(B49="", "", "10090")</f>
        <v>0</v>
      </c>
      <c r="J49" s="2">
        <f>IF(B49="", "", "missing: not provided")</f>
        <v>0</v>
      </c>
      <c r="K49" s="1">
        <f>IF(B49="", "", "g")</f>
        <v>0</v>
      </c>
    </row>
    <row r="50" spans="1:11">
      <c r="A50">
        <f>IF(COUNTBLANK(B50:K50)&lt;&gt;COLUMNS(B50:K50),49,"")</f>
        <v>0</v>
      </c>
      <c r="C50" s="2">
        <f>IF(B50="", "", "missing: not provided")</f>
        <v>0</v>
      </c>
      <c r="D50" s="1">
        <f>IF(B50="", "", "weeks")</f>
        <v>0</v>
      </c>
      <c r="E50" s="1">
        <f>IF(B50="", "", "urban biome")</f>
        <v>0</v>
      </c>
      <c r="F50" s="1">
        <f>IF(B50="", "", "animal-associated habitat")</f>
        <v>0</v>
      </c>
      <c r="G50" s="1">
        <f>IF(B50="", "", "mouse")</f>
        <v>0</v>
      </c>
      <c r="H50" s="1">
        <f>IF(B50="", "", "Mus musculus")</f>
        <v>0</v>
      </c>
      <c r="I50" s="1">
        <f>IF(B50="", "", "10090")</f>
        <v>0</v>
      </c>
      <c r="J50" s="2">
        <f>IF(B50="", "", "missing: not provided")</f>
        <v>0</v>
      </c>
      <c r="K50" s="1">
        <f>IF(B50="", "", "g")</f>
        <v>0</v>
      </c>
    </row>
    <row r="51" spans="1:11">
      <c r="A51">
        <f>IF(COUNTBLANK(B51:K51)&lt;&gt;COLUMNS(B51:K51),50,"")</f>
        <v>0</v>
      </c>
      <c r="C51" s="2">
        <f>IF(B51="", "", "missing: not provided")</f>
        <v>0</v>
      </c>
      <c r="D51" s="1">
        <f>IF(B51="", "", "weeks")</f>
        <v>0</v>
      </c>
      <c r="E51" s="1">
        <f>IF(B51="", "", "urban biome")</f>
        <v>0</v>
      </c>
      <c r="F51" s="1">
        <f>IF(B51="", "", "animal-associated habitat")</f>
        <v>0</v>
      </c>
      <c r="G51" s="1">
        <f>IF(B51="", "", "mouse")</f>
        <v>0</v>
      </c>
      <c r="H51" s="1">
        <f>IF(B51="", "", "Mus musculus")</f>
        <v>0</v>
      </c>
      <c r="I51" s="1">
        <f>IF(B51="", "", "10090")</f>
        <v>0</v>
      </c>
      <c r="J51" s="2">
        <f>IF(B51="", "", "missing: not provided")</f>
        <v>0</v>
      </c>
      <c r="K51" s="1">
        <f>IF(B51="", "", "g")</f>
        <v>0</v>
      </c>
    </row>
    <row r="52" spans="1:11">
      <c r="A52">
        <f>IF(COUNTBLANK(B52:K52)&lt;&gt;COLUMNS(B52:K52),51,"")</f>
        <v>0</v>
      </c>
      <c r="C52" s="2">
        <f>IF(B52="", "", "missing: not provided")</f>
        <v>0</v>
      </c>
      <c r="D52" s="1">
        <f>IF(B52="", "", "weeks")</f>
        <v>0</v>
      </c>
      <c r="E52" s="1">
        <f>IF(B52="", "", "urban biome")</f>
        <v>0</v>
      </c>
      <c r="F52" s="1">
        <f>IF(B52="", "", "animal-associated habitat")</f>
        <v>0</v>
      </c>
      <c r="G52" s="1">
        <f>IF(B52="", "", "mouse")</f>
        <v>0</v>
      </c>
      <c r="H52" s="1">
        <f>IF(B52="", "", "Mus musculus")</f>
        <v>0</v>
      </c>
      <c r="I52" s="1">
        <f>IF(B52="", "", "10090")</f>
        <v>0</v>
      </c>
      <c r="J52" s="2">
        <f>IF(B52="", "", "missing: not provided")</f>
        <v>0</v>
      </c>
      <c r="K52" s="1">
        <f>IF(B52="", "", "g")</f>
        <v>0</v>
      </c>
    </row>
    <row r="53" spans="1:11">
      <c r="A53">
        <f>IF(COUNTBLANK(B53:K53)&lt;&gt;COLUMNS(B53:K53),52,"")</f>
        <v>0</v>
      </c>
      <c r="C53" s="2">
        <f>IF(B53="", "", "missing: not provided")</f>
        <v>0</v>
      </c>
      <c r="D53" s="1">
        <f>IF(B53="", "", "weeks")</f>
        <v>0</v>
      </c>
      <c r="E53" s="1">
        <f>IF(B53="", "", "urban biome")</f>
        <v>0</v>
      </c>
      <c r="F53" s="1">
        <f>IF(B53="", "", "animal-associated habitat")</f>
        <v>0</v>
      </c>
      <c r="G53" s="1">
        <f>IF(B53="", "", "mouse")</f>
        <v>0</v>
      </c>
      <c r="H53" s="1">
        <f>IF(B53="", "", "Mus musculus")</f>
        <v>0</v>
      </c>
      <c r="I53" s="1">
        <f>IF(B53="", "", "10090")</f>
        <v>0</v>
      </c>
      <c r="J53" s="2">
        <f>IF(B53="", "", "missing: not provided")</f>
        <v>0</v>
      </c>
      <c r="K53" s="1">
        <f>IF(B53="", "", "g")</f>
        <v>0</v>
      </c>
    </row>
    <row r="54" spans="1:11">
      <c r="A54">
        <f>IF(COUNTBLANK(B54:K54)&lt;&gt;COLUMNS(B54:K54),53,"")</f>
        <v>0</v>
      </c>
      <c r="C54" s="2">
        <f>IF(B54="", "", "missing: not provided")</f>
        <v>0</v>
      </c>
      <c r="D54" s="1">
        <f>IF(B54="", "", "weeks")</f>
        <v>0</v>
      </c>
      <c r="E54" s="1">
        <f>IF(B54="", "", "urban biome")</f>
        <v>0</v>
      </c>
      <c r="F54" s="1">
        <f>IF(B54="", "", "animal-associated habitat")</f>
        <v>0</v>
      </c>
      <c r="G54" s="1">
        <f>IF(B54="", "", "mouse")</f>
        <v>0</v>
      </c>
      <c r="H54" s="1">
        <f>IF(B54="", "", "Mus musculus")</f>
        <v>0</v>
      </c>
      <c r="I54" s="1">
        <f>IF(B54="", "", "10090")</f>
        <v>0</v>
      </c>
      <c r="J54" s="2">
        <f>IF(B54="", "", "missing: not provided")</f>
        <v>0</v>
      </c>
      <c r="K54" s="1">
        <f>IF(B54="", "", "g")</f>
        <v>0</v>
      </c>
    </row>
    <row r="55" spans="1:11">
      <c r="A55">
        <f>IF(COUNTBLANK(B55:K55)&lt;&gt;COLUMNS(B55:K55),54,"")</f>
        <v>0</v>
      </c>
      <c r="C55" s="2">
        <f>IF(B55="", "", "missing: not provided")</f>
        <v>0</v>
      </c>
      <c r="D55" s="1">
        <f>IF(B55="", "", "weeks")</f>
        <v>0</v>
      </c>
      <c r="E55" s="1">
        <f>IF(B55="", "", "urban biome")</f>
        <v>0</v>
      </c>
      <c r="F55" s="1">
        <f>IF(B55="", "", "animal-associated habitat")</f>
        <v>0</v>
      </c>
      <c r="G55" s="1">
        <f>IF(B55="", "", "mouse")</f>
        <v>0</v>
      </c>
      <c r="H55" s="1">
        <f>IF(B55="", "", "Mus musculus")</f>
        <v>0</v>
      </c>
      <c r="I55" s="1">
        <f>IF(B55="", "", "10090")</f>
        <v>0</v>
      </c>
      <c r="J55" s="2">
        <f>IF(B55="", "", "missing: not provided")</f>
        <v>0</v>
      </c>
      <c r="K55" s="1">
        <f>IF(B55="", "", "g")</f>
        <v>0</v>
      </c>
    </row>
    <row r="56" spans="1:11">
      <c r="A56">
        <f>IF(COUNTBLANK(B56:K56)&lt;&gt;COLUMNS(B56:K56),55,"")</f>
        <v>0</v>
      </c>
      <c r="C56" s="2">
        <f>IF(B56="", "", "missing: not provided")</f>
        <v>0</v>
      </c>
      <c r="D56" s="1">
        <f>IF(B56="", "", "weeks")</f>
        <v>0</v>
      </c>
      <c r="E56" s="1">
        <f>IF(B56="", "", "urban biome")</f>
        <v>0</v>
      </c>
      <c r="F56" s="1">
        <f>IF(B56="", "", "animal-associated habitat")</f>
        <v>0</v>
      </c>
      <c r="G56" s="1">
        <f>IF(B56="", "", "mouse")</f>
        <v>0</v>
      </c>
      <c r="H56" s="1">
        <f>IF(B56="", "", "Mus musculus")</f>
        <v>0</v>
      </c>
      <c r="I56" s="1">
        <f>IF(B56="", "", "10090")</f>
        <v>0</v>
      </c>
      <c r="J56" s="2">
        <f>IF(B56="", "", "missing: not provided")</f>
        <v>0</v>
      </c>
      <c r="K56" s="1">
        <f>IF(B56="", "", "g")</f>
        <v>0</v>
      </c>
    </row>
    <row r="57" spans="1:11">
      <c r="A57">
        <f>IF(COUNTBLANK(B57:K57)&lt;&gt;COLUMNS(B57:K57),56,"")</f>
        <v>0</v>
      </c>
      <c r="C57" s="2">
        <f>IF(B57="", "", "missing: not provided")</f>
        <v>0</v>
      </c>
      <c r="D57" s="1">
        <f>IF(B57="", "", "weeks")</f>
        <v>0</v>
      </c>
      <c r="E57" s="1">
        <f>IF(B57="", "", "urban biome")</f>
        <v>0</v>
      </c>
      <c r="F57" s="1">
        <f>IF(B57="", "", "animal-associated habitat")</f>
        <v>0</v>
      </c>
      <c r="G57" s="1">
        <f>IF(B57="", "", "mouse")</f>
        <v>0</v>
      </c>
      <c r="H57" s="1">
        <f>IF(B57="", "", "Mus musculus")</f>
        <v>0</v>
      </c>
      <c r="I57" s="1">
        <f>IF(B57="", "", "10090")</f>
        <v>0</v>
      </c>
      <c r="J57" s="2">
        <f>IF(B57="", "", "missing: not provided")</f>
        <v>0</v>
      </c>
      <c r="K57" s="1">
        <f>IF(B57="", "", "g")</f>
        <v>0</v>
      </c>
    </row>
    <row r="58" spans="1:11">
      <c r="A58">
        <f>IF(COUNTBLANK(B58:K58)&lt;&gt;COLUMNS(B58:K58),57,"")</f>
        <v>0</v>
      </c>
      <c r="C58" s="2">
        <f>IF(B58="", "", "missing: not provided")</f>
        <v>0</v>
      </c>
      <c r="D58" s="1">
        <f>IF(B58="", "", "weeks")</f>
        <v>0</v>
      </c>
      <c r="E58" s="1">
        <f>IF(B58="", "", "urban biome")</f>
        <v>0</v>
      </c>
      <c r="F58" s="1">
        <f>IF(B58="", "", "animal-associated habitat")</f>
        <v>0</v>
      </c>
      <c r="G58" s="1">
        <f>IF(B58="", "", "mouse")</f>
        <v>0</v>
      </c>
      <c r="H58" s="1">
        <f>IF(B58="", "", "Mus musculus")</f>
        <v>0</v>
      </c>
      <c r="I58" s="1">
        <f>IF(B58="", "", "10090")</f>
        <v>0</v>
      </c>
      <c r="J58" s="2">
        <f>IF(B58="", "", "missing: not provided")</f>
        <v>0</v>
      </c>
      <c r="K58" s="1">
        <f>IF(B58="", "", "g")</f>
        <v>0</v>
      </c>
    </row>
    <row r="59" spans="1:11">
      <c r="A59">
        <f>IF(COUNTBLANK(B59:K59)&lt;&gt;COLUMNS(B59:K59),58,"")</f>
        <v>0</v>
      </c>
      <c r="C59" s="2">
        <f>IF(B59="", "", "missing: not provided")</f>
        <v>0</v>
      </c>
      <c r="D59" s="1">
        <f>IF(B59="", "", "weeks")</f>
        <v>0</v>
      </c>
      <c r="E59" s="1">
        <f>IF(B59="", "", "urban biome")</f>
        <v>0</v>
      </c>
      <c r="F59" s="1">
        <f>IF(B59="", "", "animal-associated habitat")</f>
        <v>0</v>
      </c>
      <c r="G59" s="1">
        <f>IF(B59="", "", "mouse")</f>
        <v>0</v>
      </c>
      <c r="H59" s="1">
        <f>IF(B59="", "", "Mus musculus")</f>
        <v>0</v>
      </c>
      <c r="I59" s="1">
        <f>IF(B59="", "", "10090")</f>
        <v>0</v>
      </c>
      <c r="J59" s="2">
        <f>IF(B59="", "", "missing: not provided")</f>
        <v>0</v>
      </c>
      <c r="K59" s="1">
        <f>IF(B59="", "", "g")</f>
        <v>0</v>
      </c>
    </row>
    <row r="60" spans="1:11">
      <c r="A60">
        <f>IF(COUNTBLANK(B60:K60)&lt;&gt;COLUMNS(B60:K60),59,"")</f>
        <v>0</v>
      </c>
      <c r="C60" s="2">
        <f>IF(B60="", "", "missing: not provided")</f>
        <v>0</v>
      </c>
      <c r="D60" s="1">
        <f>IF(B60="", "", "weeks")</f>
        <v>0</v>
      </c>
      <c r="E60" s="1">
        <f>IF(B60="", "", "urban biome")</f>
        <v>0</v>
      </c>
      <c r="F60" s="1">
        <f>IF(B60="", "", "animal-associated habitat")</f>
        <v>0</v>
      </c>
      <c r="G60" s="1">
        <f>IF(B60="", "", "mouse")</f>
        <v>0</v>
      </c>
      <c r="H60" s="1">
        <f>IF(B60="", "", "Mus musculus")</f>
        <v>0</v>
      </c>
      <c r="I60" s="1">
        <f>IF(B60="", "", "10090")</f>
        <v>0</v>
      </c>
      <c r="J60" s="2">
        <f>IF(B60="", "", "missing: not provided")</f>
        <v>0</v>
      </c>
      <c r="K60" s="1">
        <f>IF(B60="", "", "g")</f>
        <v>0</v>
      </c>
    </row>
    <row r="61" spans="1:11">
      <c r="A61">
        <f>IF(COUNTBLANK(B61:K61)&lt;&gt;COLUMNS(B61:K61),60,"")</f>
        <v>0</v>
      </c>
      <c r="C61" s="2">
        <f>IF(B61="", "", "missing: not provided")</f>
        <v>0</v>
      </c>
      <c r="D61" s="1">
        <f>IF(B61="", "", "weeks")</f>
        <v>0</v>
      </c>
      <c r="E61" s="1">
        <f>IF(B61="", "", "urban biome")</f>
        <v>0</v>
      </c>
      <c r="F61" s="1">
        <f>IF(B61="", "", "animal-associated habitat")</f>
        <v>0</v>
      </c>
      <c r="G61" s="1">
        <f>IF(B61="", "", "mouse")</f>
        <v>0</v>
      </c>
      <c r="H61" s="1">
        <f>IF(B61="", "", "Mus musculus")</f>
        <v>0</v>
      </c>
      <c r="I61" s="1">
        <f>IF(B61="", "", "10090")</f>
        <v>0</v>
      </c>
      <c r="J61" s="2">
        <f>IF(B61="", "", "missing: not provided")</f>
        <v>0</v>
      </c>
      <c r="K61" s="1">
        <f>IF(B61="", "", "g")</f>
        <v>0</v>
      </c>
    </row>
    <row r="62" spans="1:11">
      <c r="A62">
        <f>IF(COUNTBLANK(B62:K62)&lt;&gt;COLUMNS(B62:K62),61,"")</f>
        <v>0</v>
      </c>
      <c r="C62" s="2">
        <f>IF(B62="", "", "missing: not provided")</f>
        <v>0</v>
      </c>
      <c r="D62" s="1">
        <f>IF(B62="", "", "weeks")</f>
        <v>0</v>
      </c>
      <c r="E62" s="1">
        <f>IF(B62="", "", "urban biome")</f>
        <v>0</v>
      </c>
      <c r="F62" s="1">
        <f>IF(B62="", "", "animal-associated habitat")</f>
        <v>0</v>
      </c>
      <c r="G62" s="1">
        <f>IF(B62="", "", "mouse")</f>
        <v>0</v>
      </c>
      <c r="H62" s="1">
        <f>IF(B62="", "", "Mus musculus")</f>
        <v>0</v>
      </c>
      <c r="I62" s="1">
        <f>IF(B62="", "", "10090")</f>
        <v>0</v>
      </c>
      <c r="J62" s="2">
        <f>IF(B62="", "", "missing: not provided")</f>
        <v>0</v>
      </c>
      <c r="K62" s="1">
        <f>IF(B62="", "", "g")</f>
        <v>0</v>
      </c>
    </row>
    <row r="63" spans="1:11">
      <c r="A63">
        <f>IF(COUNTBLANK(B63:K63)&lt;&gt;COLUMNS(B63:K63),62,"")</f>
        <v>0</v>
      </c>
      <c r="C63" s="2">
        <f>IF(B63="", "", "missing: not provided")</f>
        <v>0</v>
      </c>
      <c r="D63" s="1">
        <f>IF(B63="", "", "weeks")</f>
        <v>0</v>
      </c>
      <c r="E63" s="1">
        <f>IF(B63="", "", "urban biome")</f>
        <v>0</v>
      </c>
      <c r="F63" s="1">
        <f>IF(B63="", "", "animal-associated habitat")</f>
        <v>0</v>
      </c>
      <c r="G63" s="1">
        <f>IF(B63="", "", "mouse")</f>
        <v>0</v>
      </c>
      <c r="H63" s="1">
        <f>IF(B63="", "", "Mus musculus")</f>
        <v>0</v>
      </c>
      <c r="I63" s="1">
        <f>IF(B63="", "", "10090")</f>
        <v>0</v>
      </c>
      <c r="J63" s="2">
        <f>IF(B63="", "", "missing: not provided")</f>
        <v>0</v>
      </c>
      <c r="K63" s="1">
        <f>IF(B63="", "", "g")</f>
        <v>0</v>
      </c>
    </row>
    <row r="64" spans="1:11">
      <c r="A64">
        <f>IF(COUNTBLANK(B64:K64)&lt;&gt;COLUMNS(B64:K64),63,"")</f>
        <v>0</v>
      </c>
      <c r="C64" s="2">
        <f>IF(B64="", "", "missing: not provided")</f>
        <v>0</v>
      </c>
      <c r="D64" s="1">
        <f>IF(B64="", "", "weeks")</f>
        <v>0</v>
      </c>
      <c r="E64" s="1">
        <f>IF(B64="", "", "urban biome")</f>
        <v>0</v>
      </c>
      <c r="F64" s="1">
        <f>IF(B64="", "", "animal-associated habitat")</f>
        <v>0</v>
      </c>
      <c r="G64" s="1">
        <f>IF(B64="", "", "mouse")</f>
        <v>0</v>
      </c>
      <c r="H64" s="1">
        <f>IF(B64="", "", "Mus musculus")</f>
        <v>0</v>
      </c>
      <c r="I64" s="1">
        <f>IF(B64="", "", "10090")</f>
        <v>0</v>
      </c>
      <c r="J64" s="2">
        <f>IF(B64="", "", "missing: not provided")</f>
        <v>0</v>
      </c>
      <c r="K64" s="1">
        <f>IF(B64="", "", "g")</f>
        <v>0</v>
      </c>
    </row>
    <row r="65" spans="1:11">
      <c r="A65">
        <f>IF(COUNTBLANK(B65:K65)&lt;&gt;COLUMNS(B65:K65),64,"")</f>
        <v>0</v>
      </c>
      <c r="C65" s="2">
        <f>IF(B65="", "", "missing: not provided")</f>
        <v>0</v>
      </c>
      <c r="D65" s="1">
        <f>IF(B65="", "", "weeks")</f>
        <v>0</v>
      </c>
      <c r="E65" s="1">
        <f>IF(B65="", "", "urban biome")</f>
        <v>0</v>
      </c>
      <c r="F65" s="1">
        <f>IF(B65="", "", "animal-associated habitat")</f>
        <v>0</v>
      </c>
      <c r="G65" s="1">
        <f>IF(B65="", "", "mouse")</f>
        <v>0</v>
      </c>
      <c r="H65" s="1">
        <f>IF(B65="", "", "Mus musculus")</f>
        <v>0</v>
      </c>
      <c r="I65" s="1">
        <f>IF(B65="", "", "10090")</f>
        <v>0</v>
      </c>
      <c r="J65" s="2">
        <f>IF(B65="", "", "missing: not provided")</f>
        <v>0</v>
      </c>
      <c r="K65" s="1">
        <f>IF(B65="", "", "g")</f>
        <v>0</v>
      </c>
    </row>
    <row r="66" spans="1:11">
      <c r="A66">
        <f>IF(COUNTBLANK(B66:K66)&lt;&gt;COLUMNS(B66:K66),65,"")</f>
        <v>0</v>
      </c>
      <c r="C66" s="2">
        <f>IF(B66="", "", "missing: not provided")</f>
        <v>0</v>
      </c>
      <c r="D66" s="1">
        <f>IF(B66="", "", "weeks")</f>
        <v>0</v>
      </c>
      <c r="E66" s="1">
        <f>IF(B66="", "", "urban biome")</f>
        <v>0</v>
      </c>
      <c r="F66" s="1">
        <f>IF(B66="", "", "animal-associated habitat")</f>
        <v>0</v>
      </c>
      <c r="G66" s="1">
        <f>IF(B66="", "", "mouse")</f>
        <v>0</v>
      </c>
      <c r="H66" s="1">
        <f>IF(B66="", "", "Mus musculus")</f>
        <v>0</v>
      </c>
      <c r="I66" s="1">
        <f>IF(B66="", "", "10090")</f>
        <v>0</v>
      </c>
      <c r="J66" s="2">
        <f>IF(B66="", "", "missing: not provided")</f>
        <v>0</v>
      </c>
      <c r="K66" s="1">
        <f>IF(B66="", "", "g")</f>
        <v>0</v>
      </c>
    </row>
    <row r="67" spans="1:11">
      <c r="A67">
        <f>IF(COUNTBLANK(B67:K67)&lt;&gt;COLUMNS(B67:K67),66,"")</f>
        <v>0</v>
      </c>
      <c r="C67" s="2">
        <f>IF(B67="", "", "missing: not provided")</f>
        <v>0</v>
      </c>
      <c r="D67" s="1">
        <f>IF(B67="", "", "weeks")</f>
        <v>0</v>
      </c>
      <c r="E67" s="1">
        <f>IF(B67="", "", "urban biome")</f>
        <v>0</v>
      </c>
      <c r="F67" s="1">
        <f>IF(B67="", "", "animal-associated habitat")</f>
        <v>0</v>
      </c>
      <c r="G67" s="1">
        <f>IF(B67="", "", "mouse")</f>
        <v>0</v>
      </c>
      <c r="H67" s="1">
        <f>IF(B67="", "", "Mus musculus")</f>
        <v>0</v>
      </c>
      <c r="I67" s="1">
        <f>IF(B67="", "", "10090")</f>
        <v>0</v>
      </c>
      <c r="J67" s="2">
        <f>IF(B67="", "", "missing: not provided")</f>
        <v>0</v>
      </c>
      <c r="K67" s="1">
        <f>IF(B67="", "", "g")</f>
        <v>0</v>
      </c>
    </row>
    <row r="68" spans="1:11">
      <c r="A68">
        <f>IF(COUNTBLANK(B68:K68)&lt;&gt;COLUMNS(B68:K68),67,"")</f>
        <v>0</v>
      </c>
      <c r="C68" s="2">
        <f>IF(B68="", "", "missing: not provided")</f>
        <v>0</v>
      </c>
      <c r="D68" s="1">
        <f>IF(B68="", "", "weeks")</f>
        <v>0</v>
      </c>
      <c r="E68" s="1">
        <f>IF(B68="", "", "urban biome")</f>
        <v>0</v>
      </c>
      <c r="F68" s="1">
        <f>IF(B68="", "", "animal-associated habitat")</f>
        <v>0</v>
      </c>
      <c r="G68" s="1">
        <f>IF(B68="", "", "mouse")</f>
        <v>0</v>
      </c>
      <c r="H68" s="1">
        <f>IF(B68="", "", "Mus musculus")</f>
        <v>0</v>
      </c>
      <c r="I68" s="1">
        <f>IF(B68="", "", "10090")</f>
        <v>0</v>
      </c>
      <c r="J68" s="2">
        <f>IF(B68="", "", "missing: not provided")</f>
        <v>0</v>
      </c>
      <c r="K68" s="1">
        <f>IF(B68="", "", "g")</f>
        <v>0</v>
      </c>
    </row>
    <row r="69" spans="1:11">
      <c r="A69">
        <f>IF(COUNTBLANK(B69:K69)&lt;&gt;COLUMNS(B69:K69),68,"")</f>
        <v>0</v>
      </c>
      <c r="C69" s="2">
        <f>IF(B69="", "", "missing: not provided")</f>
        <v>0</v>
      </c>
      <c r="D69" s="1">
        <f>IF(B69="", "", "weeks")</f>
        <v>0</v>
      </c>
      <c r="E69" s="1">
        <f>IF(B69="", "", "urban biome")</f>
        <v>0</v>
      </c>
      <c r="F69" s="1">
        <f>IF(B69="", "", "animal-associated habitat")</f>
        <v>0</v>
      </c>
      <c r="G69" s="1">
        <f>IF(B69="", "", "mouse")</f>
        <v>0</v>
      </c>
      <c r="H69" s="1">
        <f>IF(B69="", "", "Mus musculus")</f>
        <v>0</v>
      </c>
      <c r="I69" s="1">
        <f>IF(B69="", "", "10090")</f>
        <v>0</v>
      </c>
      <c r="J69" s="2">
        <f>IF(B69="", "", "missing: not provided")</f>
        <v>0</v>
      </c>
      <c r="K69" s="1">
        <f>IF(B69="", "", "g")</f>
        <v>0</v>
      </c>
    </row>
    <row r="70" spans="1:11">
      <c r="A70">
        <f>IF(COUNTBLANK(B70:K70)&lt;&gt;COLUMNS(B70:K70),69,"")</f>
        <v>0</v>
      </c>
      <c r="C70" s="2">
        <f>IF(B70="", "", "missing: not provided")</f>
        <v>0</v>
      </c>
      <c r="D70" s="1">
        <f>IF(B70="", "", "weeks")</f>
        <v>0</v>
      </c>
      <c r="E70" s="1">
        <f>IF(B70="", "", "urban biome")</f>
        <v>0</v>
      </c>
      <c r="F70" s="1">
        <f>IF(B70="", "", "animal-associated habitat")</f>
        <v>0</v>
      </c>
      <c r="G70" s="1">
        <f>IF(B70="", "", "mouse")</f>
        <v>0</v>
      </c>
      <c r="H70" s="1">
        <f>IF(B70="", "", "Mus musculus")</f>
        <v>0</v>
      </c>
      <c r="I70" s="1">
        <f>IF(B70="", "", "10090")</f>
        <v>0</v>
      </c>
      <c r="J70" s="2">
        <f>IF(B70="", "", "missing: not provided")</f>
        <v>0</v>
      </c>
      <c r="K70" s="1">
        <f>IF(B70="", "", "g")</f>
        <v>0</v>
      </c>
    </row>
    <row r="71" spans="1:11">
      <c r="A71">
        <f>IF(COUNTBLANK(B71:K71)&lt;&gt;COLUMNS(B71:K71),70,"")</f>
        <v>0</v>
      </c>
      <c r="C71" s="2">
        <f>IF(B71="", "", "missing: not provided")</f>
        <v>0</v>
      </c>
      <c r="D71" s="1">
        <f>IF(B71="", "", "weeks")</f>
        <v>0</v>
      </c>
      <c r="E71" s="1">
        <f>IF(B71="", "", "urban biome")</f>
        <v>0</v>
      </c>
      <c r="F71" s="1">
        <f>IF(B71="", "", "animal-associated habitat")</f>
        <v>0</v>
      </c>
      <c r="G71" s="1">
        <f>IF(B71="", "", "mouse")</f>
        <v>0</v>
      </c>
      <c r="H71" s="1">
        <f>IF(B71="", "", "Mus musculus")</f>
        <v>0</v>
      </c>
      <c r="I71" s="1">
        <f>IF(B71="", "", "10090")</f>
        <v>0</v>
      </c>
      <c r="J71" s="2">
        <f>IF(B71="", "", "missing: not provided")</f>
        <v>0</v>
      </c>
      <c r="K71" s="1">
        <f>IF(B71="", "", "g")</f>
        <v>0</v>
      </c>
    </row>
    <row r="72" spans="1:11">
      <c r="A72">
        <f>IF(COUNTBLANK(B72:K72)&lt;&gt;COLUMNS(B72:K72),71,"")</f>
        <v>0</v>
      </c>
      <c r="C72" s="2">
        <f>IF(B72="", "", "missing: not provided")</f>
        <v>0</v>
      </c>
      <c r="D72" s="1">
        <f>IF(B72="", "", "weeks")</f>
        <v>0</v>
      </c>
      <c r="E72" s="1">
        <f>IF(B72="", "", "urban biome")</f>
        <v>0</v>
      </c>
      <c r="F72" s="1">
        <f>IF(B72="", "", "animal-associated habitat")</f>
        <v>0</v>
      </c>
      <c r="G72" s="1">
        <f>IF(B72="", "", "mouse")</f>
        <v>0</v>
      </c>
      <c r="H72" s="1">
        <f>IF(B72="", "", "Mus musculus")</f>
        <v>0</v>
      </c>
      <c r="I72" s="1">
        <f>IF(B72="", "", "10090")</f>
        <v>0</v>
      </c>
      <c r="J72" s="2">
        <f>IF(B72="", "", "missing: not provided")</f>
        <v>0</v>
      </c>
      <c r="K72" s="1">
        <f>IF(B72="", "", "g")</f>
        <v>0</v>
      </c>
    </row>
    <row r="73" spans="1:11">
      <c r="A73">
        <f>IF(COUNTBLANK(B73:K73)&lt;&gt;COLUMNS(B73:K73),72,"")</f>
        <v>0</v>
      </c>
      <c r="C73" s="2">
        <f>IF(B73="", "", "missing: not provided")</f>
        <v>0</v>
      </c>
      <c r="D73" s="1">
        <f>IF(B73="", "", "weeks")</f>
        <v>0</v>
      </c>
      <c r="E73" s="1">
        <f>IF(B73="", "", "urban biome")</f>
        <v>0</v>
      </c>
      <c r="F73" s="1">
        <f>IF(B73="", "", "animal-associated habitat")</f>
        <v>0</v>
      </c>
      <c r="G73" s="1">
        <f>IF(B73="", "", "mouse")</f>
        <v>0</v>
      </c>
      <c r="H73" s="1">
        <f>IF(B73="", "", "Mus musculus")</f>
        <v>0</v>
      </c>
      <c r="I73" s="1">
        <f>IF(B73="", "", "10090")</f>
        <v>0</v>
      </c>
      <c r="J73" s="2">
        <f>IF(B73="", "", "missing: not provided")</f>
        <v>0</v>
      </c>
      <c r="K73" s="1">
        <f>IF(B73="", "", "g")</f>
        <v>0</v>
      </c>
    </row>
    <row r="74" spans="1:11">
      <c r="A74">
        <f>IF(COUNTBLANK(B74:K74)&lt;&gt;COLUMNS(B74:K74),73,"")</f>
        <v>0</v>
      </c>
      <c r="C74" s="2">
        <f>IF(B74="", "", "missing: not provided")</f>
        <v>0</v>
      </c>
      <c r="D74" s="1">
        <f>IF(B74="", "", "weeks")</f>
        <v>0</v>
      </c>
      <c r="E74" s="1">
        <f>IF(B74="", "", "urban biome")</f>
        <v>0</v>
      </c>
      <c r="F74" s="1">
        <f>IF(B74="", "", "animal-associated habitat")</f>
        <v>0</v>
      </c>
      <c r="G74" s="1">
        <f>IF(B74="", "", "mouse")</f>
        <v>0</v>
      </c>
      <c r="H74" s="1">
        <f>IF(B74="", "", "Mus musculus")</f>
        <v>0</v>
      </c>
      <c r="I74" s="1">
        <f>IF(B74="", "", "10090")</f>
        <v>0</v>
      </c>
      <c r="J74" s="2">
        <f>IF(B74="", "", "missing: not provided")</f>
        <v>0</v>
      </c>
      <c r="K74" s="1">
        <f>IF(B74="", "", "g")</f>
        <v>0</v>
      </c>
    </row>
    <row r="75" spans="1:11">
      <c r="A75">
        <f>IF(COUNTBLANK(B75:K75)&lt;&gt;COLUMNS(B75:K75),74,"")</f>
        <v>0</v>
      </c>
      <c r="C75" s="2">
        <f>IF(B75="", "", "missing: not provided")</f>
        <v>0</v>
      </c>
      <c r="D75" s="1">
        <f>IF(B75="", "", "weeks")</f>
        <v>0</v>
      </c>
      <c r="E75" s="1">
        <f>IF(B75="", "", "urban biome")</f>
        <v>0</v>
      </c>
      <c r="F75" s="1">
        <f>IF(B75="", "", "animal-associated habitat")</f>
        <v>0</v>
      </c>
      <c r="G75" s="1">
        <f>IF(B75="", "", "mouse")</f>
        <v>0</v>
      </c>
      <c r="H75" s="1">
        <f>IF(B75="", "", "Mus musculus")</f>
        <v>0</v>
      </c>
      <c r="I75" s="1">
        <f>IF(B75="", "", "10090")</f>
        <v>0</v>
      </c>
      <c r="J75" s="2">
        <f>IF(B75="", "", "missing: not provided")</f>
        <v>0</v>
      </c>
      <c r="K75" s="1">
        <f>IF(B75="", "", "g")</f>
        <v>0</v>
      </c>
    </row>
    <row r="76" spans="1:11">
      <c r="A76">
        <f>IF(COUNTBLANK(B76:K76)&lt;&gt;COLUMNS(B76:K76),75,"")</f>
        <v>0</v>
      </c>
      <c r="C76" s="2">
        <f>IF(B76="", "", "missing: not provided")</f>
        <v>0</v>
      </c>
      <c r="D76" s="1">
        <f>IF(B76="", "", "weeks")</f>
        <v>0</v>
      </c>
      <c r="E76" s="1">
        <f>IF(B76="", "", "urban biome")</f>
        <v>0</v>
      </c>
      <c r="F76" s="1">
        <f>IF(B76="", "", "animal-associated habitat")</f>
        <v>0</v>
      </c>
      <c r="G76" s="1">
        <f>IF(B76="", "", "mouse")</f>
        <v>0</v>
      </c>
      <c r="H76" s="1">
        <f>IF(B76="", "", "Mus musculus")</f>
        <v>0</v>
      </c>
      <c r="I76" s="1">
        <f>IF(B76="", "", "10090")</f>
        <v>0</v>
      </c>
      <c r="J76" s="2">
        <f>IF(B76="", "", "missing: not provided")</f>
        <v>0</v>
      </c>
      <c r="K76" s="1">
        <f>IF(B76="", "", "g")</f>
        <v>0</v>
      </c>
    </row>
    <row r="77" spans="1:11">
      <c r="A77">
        <f>IF(COUNTBLANK(B77:K77)&lt;&gt;COLUMNS(B77:K77),76,"")</f>
        <v>0</v>
      </c>
      <c r="C77" s="2">
        <f>IF(B77="", "", "missing: not provided")</f>
        <v>0</v>
      </c>
      <c r="D77" s="1">
        <f>IF(B77="", "", "weeks")</f>
        <v>0</v>
      </c>
      <c r="E77" s="1">
        <f>IF(B77="", "", "urban biome")</f>
        <v>0</v>
      </c>
      <c r="F77" s="1">
        <f>IF(B77="", "", "animal-associated habitat")</f>
        <v>0</v>
      </c>
      <c r="G77" s="1">
        <f>IF(B77="", "", "mouse")</f>
        <v>0</v>
      </c>
      <c r="H77" s="1">
        <f>IF(B77="", "", "Mus musculus")</f>
        <v>0</v>
      </c>
      <c r="I77" s="1">
        <f>IF(B77="", "", "10090")</f>
        <v>0</v>
      </c>
      <c r="J77" s="2">
        <f>IF(B77="", "", "missing: not provided")</f>
        <v>0</v>
      </c>
      <c r="K77" s="1">
        <f>IF(B77="", "", "g")</f>
        <v>0</v>
      </c>
    </row>
    <row r="78" spans="1:11">
      <c r="A78">
        <f>IF(COUNTBLANK(B78:K78)&lt;&gt;COLUMNS(B78:K78),77,"")</f>
        <v>0</v>
      </c>
      <c r="C78" s="2">
        <f>IF(B78="", "", "missing: not provided")</f>
        <v>0</v>
      </c>
      <c r="D78" s="1">
        <f>IF(B78="", "", "weeks")</f>
        <v>0</v>
      </c>
      <c r="E78" s="1">
        <f>IF(B78="", "", "urban biome")</f>
        <v>0</v>
      </c>
      <c r="F78" s="1">
        <f>IF(B78="", "", "animal-associated habitat")</f>
        <v>0</v>
      </c>
      <c r="G78" s="1">
        <f>IF(B78="", "", "mouse")</f>
        <v>0</v>
      </c>
      <c r="H78" s="1">
        <f>IF(B78="", "", "Mus musculus")</f>
        <v>0</v>
      </c>
      <c r="I78" s="1">
        <f>IF(B78="", "", "10090")</f>
        <v>0</v>
      </c>
      <c r="J78" s="2">
        <f>IF(B78="", "", "missing: not provided")</f>
        <v>0</v>
      </c>
      <c r="K78" s="1">
        <f>IF(B78="", "", "g")</f>
        <v>0</v>
      </c>
    </row>
    <row r="79" spans="1:11">
      <c r="A79">
        <f>IF(COUNTBLANK(B79:K79)&lt;&gt;COLUMNS(B79:K79),78,"")</f>
        <v>0</v>
      </c>
      <c r="C79" s="2">
        <f>IF(B79="", "", "missing: not provided")</f>
        <v>0</v>
      </c>
      <c r="D79" s="1">
        <f>IF(B79="", "", "weeks")</f>
        <v>0</v>
      </c>
      <c r="E79" s="1">
        <f>IF(B79="", "", "urban biome")</f>
        <v>0</v>
      </c>
      <c r="F79" s="1">
        <f>IF(B79="", "", "animal-associated habitat")</f>
        <v>0</v>
      </c>
      <c r="G79" s="1">
        <f>IF(B79="", "", "mouse")</f>
        <v>0</v>
      </c>
      <c r="H79" s="1">
        <f>IF(B79="", "", "Mus musculus")</f>
        <v>0</v>
      </c>
      <c r="I79" s="1">
        <f>IF(B79="", "", "10090")</f>
        <v>0</v>
      </c>
      <c r="J79" s="2">
        <f>IF(B79="", "", "missing: not provided")</f>
        <v>0</v>
      </c>
      <c r="K79" s="1">
        <f>IF(B79="", "", "g")</f>
        <v>0</v>
      </c>
    </row>
    <row r="80" spans="1:11">
      <c r="A80">
        <f>IF(COUNTBLANK(B80:K80)&lt;&gt;COLUMNS(B80:K80),79,"")</f>
        <v>0</v>
      </c>
      <c r="C80" s="2">
        <f>IF(B80="", "", "missing: not provided")</f>
        <v>0</v>
      </c>
      <c r="D80" s="1">
        <f>IF(B80="", "", "weeks")</f>
        <v>0</v>
      </c>
      <c r="E80" s="1">
        <f>IF(B80="", "", "urban biome")</f>
        <v>0</v>
      </c>
      <c r="F80" s="1">
        <f>IF(B80="", "", "animal-associated habitat")</f>
        <v>0</v>
      </c>
      <c r="G80" s="1">
        <f>IF(B80="", "", "mouse")</f>
        <v>0</v>
      </c>
      <c r="H80" s="1">
        <f>IF(B80="", "", "Mus musculus")</f>
        <v>0</v>
      </c>
      <c r="I80" s="1">
        <f>IF(B80="", "", "10090")</f>
        <v>0</v>
      </c>
      <c r="J80" s="2">
        <f>IF(B80="", "", "missing: not provided")</f>
        <v>0</v>
      </c>
      <c r="K80" s="1">
        <f>IF(B80="", "", "g")</f>
        <v>0</v>
      </c>
    </row>
    <row r="81" spans="1:11">
      <c r="A81">
        <f>IF(COUNTBLANK(B81:K81)&lt;&gt;COLUMNS(B81:K81),80,"")</f>
        <v>0</v>
      </c>
      <c r="C81" s="2">
        <f>IF(B81="", "", "missing: not provided")</f>
        <v>0</v>
      </c>
      <c r="D81" s="1">
        <f>IF(B81="", "", "weeks")</f>
        <v>0</v>
      </c>
      <c r="E81" s="1">
        <f>IF(B81="", "", "urban biome")</f>
        <v>0</v>
      </c>
      <c r="F81" s="1">
        <f>IF(B81="", "", "animal-associated habitat")</f>
        <v>0</v>
      </c>
      <c r="G81" s="1">
        <f>IF(B81="", "", "mouse")</f>
        <v>0</v>
      </c>
      <c r="H81" s="1">
        <f>IF(B81="", "", "Mus musculus")</f>
        <v>0</v>
      </c>
      <c r="I81" s="1">
        <f>IF(B81="", "", "10090")</f>
        <v>0</v>
      </c>
      <c r="J81" s="2">
        <f>IF(B81="", "", "missing: not provided")</f>
        <v>0</v>
      </c>
      <c r="K81" s="1">
        <f>IF(B81="", "", "g")</f>
        <v>0</v>
      </c>
    </row>
    <row r="82" spans="1:11">
      <c r="A82">
        <f>IF(COUNTBLANK(B82:K82)&lt;&gt;COLUMNS(B82:K82),81,"")</f>
        <v>0</v>
      </c>
      <c r="C82" s="2">
        <f>IF(B82="", "", "missing: not provided")</f>
        <v>0</v>
      </c>
      <c r="D82" s="1">
        <f>IF(B82="", "", "weeks")</f>
        <v>0</v>
      </c>
      <c r="E82" s="1">
        <f>IF(B82="", "", "urban biome")</f>
        <v>0</v>
      </c>
      <c r="F82" s="1">
        <f>IF(B82="", "", "animal-associated habitat")</f>
        <v>0</v>
      </c>
      <c r="G82" s="1">
        <f>IF(B82="", "", "mouse")</f>
        <v>0</v>
      </c>
      <c r="H82" s="1">
        <f>IF(B82="", "", "Mus musculus")</f>
        <v>0</v>
      </c>
      <c r="I82" s="1">
        <f>IF(B82="", "", "10090")</f>
        <v>0</v>
      </c>
      <c r="J82" s="2">
        <f>IF(B82="", "", "missing: not provided")</f>
        <v>0</v>
      </c>
      <c r="K82" s="1">
        <f>IF(B82="", "", "g")</f>
        <v>0</v>
      </c>
    </row>
    <row r="83" spans="1:11">
      <c r="A83">
        <f>IF(COUNTBLANK(B83:K83)&lt;&gt;COLUMNS(B83:K83),82,"")</f>
        <v>0</v>
      </c>
      <c r="C83" s="2">
        <f>IF(B83="", "", "missing: not provided")</f>
        <v>0</v>
      </c>
      <c r="D83" s="1">
        <f>IF(B83="", "", "weeks")</f>
        <v>0</v>
      </c>
      <c r="E83" s="1">
        <f>IF(B83="", "", "urban biome")</f>
        <v>0</v>
      </c>
      <c r="F83" s="1">
        <f>IF(B83="", "", "animal-associated habitat")</f>
        <v>0</v>
      </c>
      <c r="G83" s="1">
        <f>IF(B83="", "", "mouse")</f>
        <v>0</v>
      </c>
      <c r="H83" s="1">
        <f>IF(B83="", "", "Mus musculus")</f>
        <v>0</v>
      </c>
      <c r="I83" s="1">
        <f>IF(B83="", "", "10090")</f>
        <v>0</v>
      </c>
      <c r="J83" s="2">
        <f>IF(B83="", "", "missing: not provided")</f>
        <v>0</v>
      </c>
      <c r="K83" s="1">
        <f>IF(B83="", "", "g")</f>
        <v>0</v>
      </c>
    </row>
    <row r="84" spans="1:11">
      <c r="A84">
        <f>IF(COUNTBLANK(B84:K84)&lt;&gt;COLUMNS(B84:K84),83,"")</f>
        <v>0</v>
      </c>
      <c r="C84" s="2">
        <f>IF(B84="", "", "missing: not provided")</f>
        <v>0</v>
      </c>
      <c r="D84" s="1">
        <f>IF(B84="", "", "weeks")</f>
        <v>0</v>
      </c>
      <c r="E84" s="1">
        <f>IF(B84="", "", "urban biome")</f>
        <v>0</v>
      </c>
      <c r="F84" s="1">
        <f>IF(B84="", "", "animal-associated habitat")</f>
        <v>0</v>
      </c>
      <c r="G84" s="1">
        <f>IF(B84="", "", "mouse")</f>
        <v>0</v>
      </c>
      <c r="H84" s="1">
        <f>IF(B84="", "", "Mus musculus")</f>
        <v>0</v>
      </c>
      <c r="I84" s="1">
        <f>IF(B84="", "", "10090")</f>
        <v>0</v>
      </c>
      <c r="J84" s="2">
        <f>IF(B84="", "", "missing: not provided")</f>
        <v>0</v>
      </c>
      <c r="K84" s="1">
        <f>IF(B84="", "", "g")</f>
        <v>0</v>
      </c>
    </row>
    <row r="85" spans="1:11">
      <c r="A85">
        <f>IF(COUNTBLANK(B85:K85)&lt;&gt;COLUMNS(B85:K85),84,"")</f>
        <v>0</v>
      </c>
      <c r="C85" s="2">
        <f>IF(B85="", "", "missing: not provided")</f>
        <v>0</v>
      </c>
      <c r="D85" s="1">
        <f>IF(B85="", "", "weeks")</f>
        <v>0</v>
      </c>
      <c r="E85" s="1">
        <f>IF(B85="", "", "urban biome")</f>
        <v>0</v>
      </c>
      <c r="F85" s="1">
        <f>IF(B85="", "", "animal-associated habitat")</f>
        <v>0</v>
      </c>
      <c r="G85" s="1">
        <f>IF(B85="", "", "mouse")</f>
        <v>0</v>
      </c>
      <c r="H85" s="1">
        <f>IF(B85="", "", "Mus musculus")</f>
        <v>0</v>
      </c>
      <c r="I85" s="1">
        <f>IF(B85="", "", "10090")</f>
        <v>0</v>
      </c>
      <c r="J85" s="2">
        <f>IF(B85="", "", "missing: not provided")</f>
        <v>0</v>
      </c>
      <c r="K85" s="1">
        <f>IF(B85="", "", "g")</f>
        <v>0</v>
      </c>
    </row>
    <row r="86" spans="1:11">
      <c r="A86">
        <f>IF(COUNTBLANK(B86:K86)&lt;&gt;COLUMNS(B86:K86),85,"")</f>
        <v>0</v>
      </c>
      <c r="C86" s="2">
        <f>IF(B86="", "", "missing: not provided")</f>
        <v>0</v>
      </c>
      <c r="D86" s="1">
        <f>IF(B86="", "", "weeks")</f>
        <v>0</v>
      </c>
      <c r="E86" s="1">
        <f>IF(B86="", "", "urban biome")</f>
        <v>0</v>
      </c>
      <c r="F86" s="1">
        <f>IF(B86="", "", "animal-associated habitat")</f>
        <v>0</v>
      </c>
      <c r="G86" s="1">
        <f>IF(B86="", "", "mouse")</f>
        <v>0</v>
      </c>
      <c r="H86" s="1">
        <f>IF(B86="", "", "Mus musculus")</f>
        <v>0</v>
      </c>
      <c r="I86" s="1">
        <f>IF(B86="", "", "10090")</f>
        <v>0</v>
      </c>
      <c r="J86" s="2">
        <f>IF(B86="", "", "missing: not provided")</f>
        <v>0</v>
      </c>
      <c r="K86" s="1">
        <f>IF(B86="", "", "g")</f>
        <v>0</v>
      </c>
    </row>
    <row r="87" spans="1:11">
      <c r="A87">
        <f>IF(COUNTBLANK(B87:K87)&lt;&gt;COLUMNS(B87:K87),86,"")</f>
        <v>0</v>
      </c>
      <c r="C87" s="2">
        <f>IF(B87="", "", "missing: not provided")</f>
        <v>0</v>
      </c>
      <c r="D87" s="1">
        <f>IF(B87="", "", "weeks")</f>
        <v>0</v>
      </c>
      <c r="E87" s="1">
        <f>IF(B87="", "", "urban biome")</f>
        <v>0</v>
      </c>
      <c r="F87" s="1">
        <f>IF(B87="", "", "animal-associated habitat")</f>
        <v>0</v>
      </c>
      <c r="G87" s="1">
        <f>IF(B87="", "", "mouse")</f>
        <v>0</v>
      </c>
      <c r="H87" s="1">
        <f>IF(B87="", "", "Mus musculus")</f>
        <v>0</v>
      </c>
      <c r="I87" s="1">
        <f>IF(B87="", "", "10090")</f>
        <v>0</v>
      </c>
      <c r="J87" s="2">
        <f>IF(B87="", "", "missing: not provided")</f>
        <v>0</v>
      </c>
      <c r="K87" s="1">
        <f>IF(B87="", "", "g")</f>
        <v>0</v>
      </c>
    </row>
    <row r="88" spans="1:11">
      <c r="A88">
        <f>IF(COUNTBLANK(B88:K88)&lt;&gt;COLUMNS(B88:K88),87,"")</f>
        <v>0</v>
      </c>
      <c r="C88" s="2">
        <f>IF(B88="", "", "missing: not provided")</f>
        <v>0</v>
      </c>
      <c r="D88" s="1">
        <f>IF(B88="", "", "weeks")</f>
        <v>0</v>
      </c>
      <c r="E88" s="1">
        <f>IF(B88="", "", "urban biome")</f>
        <v>0</v>
      </c>
      <c r="F88" s="1">
        <f>IF(B88="", "", "animal-associated habitat")</f>
        <v>0</v>
      </c>
      <c r="G88" s="1">
        <f>IF(B88="", "", "mouse")</f>
        <v>0</v>
      </c>
      <c r="H88" s="1">
        <f>IF(B88="", "", "Mus musculus")</f>
        <v>0</v>
      </c>
      <c r="I88" s="1">
        <f>IF(B88="", "", "10090")</f>
        <v>0</v>
      </c>
      <c r="J88" s="2">
        <f>IF(B88="", "", "missing: not provided")</f>
        <v>0</v>
      </c>
      <c r="K88" s="1">
        <f>IF(B88="", "", "g")</f>
        <v>0</v>
      </c>
    </row>
    <row r="89" spans="1:11">
      <c r="A89">
        <f>IF(COUNTBLANK(B89:K89)&lt;&gt;COLUMNS(B89:K89),88,"")</f>
        <v>0</v>
      </c>
      <c r="C89" s="2">
        <f>IF(B89="", "", "missing: not provided")</f>
        <v>0</v>
      </c>
      <c r="D89" s="1">
        <f>IF(B89="", "", "weeks")</f>
        <v>0</v>
      </c>
      <c r="E89" s="1">
        <f>IF(B89="", "", "urban biome")</f>
        <v>0</v>
      </c>
      <c r="F89" s="1">
        <f>IF(B89="", "", "animal-associated habitat")</f>
        <v>0</v>
      </c>
      <c r="G89" s="1">
        <f>IF(B89="", "", "mouse")</f>
        <v>0</v>
      </c>
      <c r="H89" s="1">
        <f>IF(B89="", "", "Mus musculus")</f>
        <v>0</v>
      </c>
      <c r="I89" s="1">
        <f>IF(B89="", "", "10090")</f>
        <v>0</v>
      </c>
      <c r="J89" s="2">
        <f>IF(B89="", "", "missing: not provided")</f>
        <v>0</v>
      </c>
      <c r="K89" s="1">
        <f>IF(B89="", "", "g")</f>
        <v>0</v>
      </c>
    </row>
    <row r="90" spans="1:11">
      <c r="A90">
        <f>IF(COUNTBLANK(B90:K90)&lt;&gt;COLUMNS(B90:K90),89,"")</f>
        <v>0</v>
      </c>
      <c r="C90" s="2">
        <f>IF(B90="", "", "missing: not provided")</f>
        <v>0</v>
      </c>
      <c r="D90" s="1">
        <f>IF(B90="", "", "weeks")</f>
        <v>0</v>
      </c>
      <c r="E90" s="1">
        <f>IF(B90="", "", "urban biome")</f>
        <v>0</v>
      </c>
      <c r="F90" s="1">
        <f>IF(B90="", "", "animal-associated habitat")</f>
        <v>0</v>
      </c>
      <c r="G90" s="1">
        <f>IF(B90="", "", "mouse")</f>
        <v>0</v>
      </c>
      <c r="H90" s="1">
        <f>IF(B90="", "", "Mus musculus")</f>
        <v>0</v>
      </c>
      <c r="I90" s="1">
        <f>IF(B90="", "", "10090")</f>
        <v>0</v>
      </c>
      <c r="J90" s="2">
        <f>IF(B90="", "", "missing: not provided")</f>
        <v>0</v>
      </c>
      <c r="K90" s="1">
        <f>IF(B90="", "", "g")</f>
        <v>0</v>
      </c>
    </row>
    <row r="91" spans="1:11">
      <c r="A91">
        <f>IF(COUNTBLANK(B91:K91)&lt;&gt;COLUMNS(B91:K91),90,"")</f>
        <v>0</v>
      </c>
      <c r="C91" s="2">
        <f>IF(B91="", "", "missing: not provided")</f>
        <v>0</v>
      </c>
      <c r="D91" s="1">
        <f>IF(B91="", "", "weeks")</f>
        <v>0</v>
      </c>
      <c r="E91" s="1">
        <f>IF(B91="", "", "urban biome")</f>
        <v>0</v>
      </c>
      <c r="F91" s="1">
        <f>IF(B91="", "", "animal-associated habitat")</f>
        <v>0</v>
      </c>
      <c r="G91" s="1">
        <f>IF(B91="", "", "mouse")</f>
        <v>0</v>
      </c>
      <c r="H91" s="1">
        <f>IF(B91="", "", "Mus musculus")</f>
        <v>0</v>
      </c>
      <c r="I91" s="1">
        <f>IF(B91="", "", "10090")</f>
        <v>0</v>
      </c>
      <c r="J91" s="2">
        <f>IF(B91="", "", "missing: not provided")</f>
        <v>0</v>
      </c>
      <c r="K91" s="1">
        <f>IF(B91="", "", "g")</f>
        <v>0</v>
      </c>
    </row>
    <row r="92" spans="1:11">
      <c r="A92">
        <f>IF(COUNTBLANK(B92:K92)&lt;&gt;COLUMNS(B92:K92),91,"")</f>
        <v>0</v>
      </c>
      <c r="C92" s="2">
        <f>IF(B92="", "", "missing: not provided")</f>
        <v>0</v>
      </c>
      <c r="D92" s="1">
        <f>IF(B92="", "", "weeks")</f>
        <v>0</v>
      </c>
      <c r="E92" s="1">
        <f>IF(B92="", "", "urban biome")</f>
        <v>0</v>
      </c>
      <c r="F92" s="1">
        <f>IF(B92="", "", "animal-associated habitat")</f>
        <v>0</v>
      </c>
      <c r="G92" s="1">
        <f>IF(B92="", "", "mouse")</f>
        <v>0</v>
      </c>
      <c r="H92" s="1">
        <f>IF(B92="", "", "Mus musculus")</f>
        <v>0</v>
      </c>
      <c r="I92" s="1">
        <f>IF(B92="", "", "10090")</f>
        <v>0</v>
      </c>
      <c r="J92" s="2">
        <f>IF(B92="", "", "missing: not provided")</f>
        <v>0</v>
      </c>
      <c r="K92" s="1">
        <f>IF(B92="", "", "g")</f>
        <v>0</v>
      </c>
    </row>
    <row r="93" spans="1:11">
      <c r="A93">
        <f>IF(COUNTBLANK(B93:K93)&lt;&gt;COLUMNS(B93:K93),92,"")</f>
        <v>0</v>
      </c>
      <c r="C93" s="2">
        <f>IF(B93="", "", "missing: not provided")</f>
        <v>0</v>
      </c>
      <c r="D93" s="1">
        <f>IF(B93="", "", "weeks")</f>
        <v>0</v>
      </c>
      <c r="E93" s="1">
        <f>IF(B93="", "", "urban biome")</f>
        <v>0</v>
      </c>
      <c r="F93" s="1">
        <f>IF(B93="", "", "animal-associated habitat")</f>
        <v>0</v>
      </c>
      <c r="G93" s="1">
        <f>IF(B93="", "", "mouse")</f>
        <v>0</v>
      </c>
      <c r="H93" s="1">
        <f>IF(B93="", "", "Mus musculus")</f>
        <v>0</v>
      </c>
      <c r="I93" s="1">
        <f>IF(B93="", "", "10090")</f>
        <v>0</v>
      </c>
      <c r="J93" s="2">
        <f>IF(B93="", "", "missing: not provided")</f>
        <v>0</v>
      </c>
      <c r="K93" s="1">
        <f>IF(B93="", "", "g")</f>
        <v>0</v>
      </c>
    </row>
    <row r="94" spans="1:11">
      <c r="A94">
        <f>IF(COUNTBLANK(B94:K94)&lt;&gt;COLUMNS(B94:K94),93,"")</f>
        <v>0</v>
      </c>
      <c r="C94" s="2">
        <f>IF(B94="", "", "missing: not provided")</f>
        <v>0</v>
      </c>
      <c r="D94" s="1">
        <f>IF(B94="", "", "weeks")</f>
        <v>0</v>
      </c>
      <c r="E94" s="1">
        <f>IF(B94="", "", "urban biome")</f>
        <v>0</v>
      </c>
      <c r="F94" s="1">
        <f>IF(B94="", "", "animal-associated habitat")</f>
        <v>0</v>
      </c>
      <c r="G94" s="1">
        <f>IF(B94="", "", "mouse")</f>
        <v>0</v>
      </c>
      <c r="H94" s="1">
        <f>IF(B94="", "", "Mus musculus")</f>
        <v>0</v>
      </c>
      <c r="I94" s="1">
        <f>IF(B94="", "", "10090")</f>
        <v>0</v>
      </c>
      <c r="J94" s="2">
        <f>IF(B94="", "", "missing: not provided")</f>
        <v>0</v>
      </c>
      <c r="K94" s="1">
        <f>IF(B94="", "", "g")</f>
        <v>0</v>
      </c>
    </row>
    <row r="95" spans="1:11">
      <c r="A95">
        <f>IF(COUNTBLANK(B95:K95)&lt;&gt;COLUMNS(B95:K95),94,"")</f>
        <v>0</v>
      </c>
      <c r="C95" s="2">
        <f>IF(B95="", "", "missing: not provided")</f>
        <v>0</v>
      </c>
      <c r="D95" s="1">
        <f>IF(B95="", "", "weeks")</f>
        <v>0</v>
      </c>
      <c r="E95" s="1">
        <f>IF(B95="", "", "urban biome")</f>
        <v>0</v>
      </c>
      <c r="F95" s="1">
        <f>IF(B95="", "", "animal-associated habitat")</f>
        <v>0</v>
      </c>
      <c r="G95" s="1">
        <f>IF(B95="", "", "mouse")</f>
        <v>0</v>
      </c>
      <c r="H95" s="1">
        <f>IF(B95="", "", "Mus musculus")</f>
        <v>0</v>
      </c>
      <c r="I95" s="1">
        <f>IF(B95="", "", "10090")</f>
        <v>0</v>
      </c>
      <c r="J95" s="2">
        <f>IF(B95="", "", "missing: not provided")</f>
        <v>0</v>
      </c>
      <c r="K95" s="1">
        <f>IF(B95="", "", "g")</f>
        <v>0</v>
      </c>
    </row>
    <row r="96" spans="1:11">
      <c r="A96">
        <f>IF(COUNTBLANK(B96:K96)&lt;&gt;COLUMNS(B96:K96),95,"")</f>
        <v>0</v>
      </c>
      <c r="C96" s="2">
        <f>IF(B96="", "", "missing: not provided")</f>
        <v>0</v>
      </c>
      <c r="D96" s="1">
        <f>IF(B96="", "", "weeks")</f>
        <v>0</v>
      </c>
      <c r="E96" s="1">
        <f>IF(B96="", "", "urban biome")</f>
        <v>0</v>
      </c>
      <c r="F96" s="1">
        <f>IF(B96="", "", "animal-associated habitat")</f>
        <v>0</v>
      </c>
      <c r="G96" s="1">
        <f>IF(B96="", "", "mouse")</f>
        <v>0</v>
      </c>
      <c r="H96" s="1">
        <f>IF(B96="", "", "Mus musculus")</f>
        <v>0</v>
      </c>
      <c r="I96" s="1">
        <f>IF(B96="", "", "10090")</f>
        <v>0</v>
      </c>
      <c r="J96" s="2">
        <f>IF(B96="", "", "missing: not provided")</f>
        <v>0</v>
      </c>
      <c r="K96" s="1">
        <f>IF(B96="", "", "g")</f>
        <v>0</v>
      </c>
    </row>
    <row r="97" spans="1:11">
      <c r="A97">
        <f>IF(COUNTBLANK(B97:K97)&lt;&gt;COLUMNS(B97:K97),96,"")</f>
        <v>0</v>
      </c>
      <c r="C97" s="2">
        <f>IF(B97="", "", "missing: not provided")</f>
        <v>0</v>
      </c>
      <c r="D97" s="1">
        <f>IF(B97="", "", "weeks")</f>
        <v>0</v>
      </c>
      <c r="E97" s="1">
        <f>IF(B97="", "", "urban biome")</f>
        <v>0</v>
      </c>
      <c r="F97" s="1">
        <f>IF(B97="", "", "animal-associated habitat")</f>
        <v>0</v>
      </c>
      <c r="G97" s="1">
        <f>IF(B97="", "", "mouse")</f>
        <v>0</v>
      </c>
      <c r="H97" s="1">
        <f>IF(B97="", "", "Mus musculus")</f>
        <v>0</v>
      </c>
      <c r="I97" s="1">
        <f>IF(B97="", "", "10090")</f>
        <v>0</v>
      </c>
      <c r="J97" s="2">
        <f>IF(B97="", "", "missing: not provided")</f>
        <v>0</v>
      </c>
      <c r="K97" s="1">
        <f>IF(B97="", "", "g")</f>
        <v>0</v>
      </c>
    </row>
    <row r="98" spans="1:11">
      <c r="A98">
        <f>IF(COUNTBLANK(B98:K98)&lt;&gt;COLUMNS(B98:K98),97,"")</f>
        <v>0</v>
      </c>
      <c r="C98" s="2">
        <f>IF(B98="", "", "missing: not provided")</f>
        <v>0</v>
      </c>
      <c r="D98" s="1">
        <f>IF(B98="", "", "weeks")</f>
        <v>0</v>
      </c>
      <c r="E98" s="1">
        <f>IF(B98="", "", "urban biome")</f>
        <v>0</v>
      </c>
      <c r="F98" s="1">
        <f>IF(B98="", "", "animal-associated habitat")</f>
        <v>0</v>
      </c>
      <c r="G98" s="1">
        <f>IF(B98="", "", "mouse")</f>
        <v>0</v>
      </c>
      <c r="H98" s="1">
        <f>IF(B98="", "", "Mus musculus")</f>
        <v>0</v>
      </c>
      <c r="I98" s="1">
        <f>IF(B98="", "", "10090")</f>
        <v>0</v>
      </c>
      <c r="J98" s="2">
        <f>IF(B98="", "", "missing: not provided")</f>
        <v>0</v>
      </c>
      <c r="K98" s="1">
        <f>IF(B98="", "", "g")</f>
        <v>0</v>
      </c>
    </row>
    <row r="99" spans="1:11">
      <c r="A99">
        <f>IF(COUNTBLANK(B99:K99)&lt;&gt;COLUMNS(B99:K99),98,"")</f>
        <v>0</v>
      </c>
      <c r="C99" s="2">
        <f>IF(B99="", "", "missing: not provided")</f>
        <v>0</v>
      </c>
      <c r="D99" s="1">
        <f>IF(B99="", "", "weeks")</f>
        <v>0</v>
      </c>
      <c r="E99" s="1">
        <f>IF(B99="", "", "urban biome")</f>
        <v>0</v>
      </c>
      <c r="F99" s="1">
        <f>IF(B99="", "", "animal-associated habitat")</f>
        <v>0</v>
      </c>
      <c r="G99" s="1">
        <f>IF(B99="", "", "mouse")</f>
        <v>0</v>
      </c>
      <c r="H99" s="1">
        <f>IF(B99="", "", "Mus musculus")</f>
        <v>0</v>
      </c>
      <c r="I99" s="1">
        <f>IF(B99="", "", "10090")</f>
        <v>0</v>
      </c>
      <c r="J99" s="2">
        <f>IF(B99="", "", "missing: not provided")</f>
        <v>0</v>
      </c>
      <c r="K99" s="1">
        <f>IF(B99="", "", "g")</f>
        <v>0</v>
      </c>
    </row>
    <row r="100" spans="1:11">
      <c r="A100">
        <f>IF(COUNTBLANK(B100:K100)&lt;&gt;COLUMNS(B100:K100),99,"")</f>
        <v>0</v>
      </c>
      <c r="C100" s="2">
        <f>IF(B100="", "", "missing: not provided")</f>
        <v>0</v>
      </c>
      <c r="D100" s="1">
        <f>IF(B100="", "", "weeks")</f>
        <v>0</v>
      </c>
      <c r="E100" s="1">
        <f>IF(B100="", "", "urban biome")</f>
        <v>0</v>
      </c>
      <c r="F100" s="1">
        <f>IF(B100="", "", "animal-associated habitat")</f>
        <v>0</v>
      </c>
      <c r="G100" s="1">
        <f>IF(B100="", "", "mouse")</f>
        <v>0</v>
      </c>
      <c r="H100" s="1">
        <f>IF(B100="", "", "Mus musculus")</f>
        <v>0</v>
      </c>
      <c r="I100" s="1">
        <f>IF(B100="", "", "10090")</f>
        <v>0</v>
      </c>
      <c r="J100" s="2">
        <f>IF(B100="", "", "missing: not provided")</f>
        <v>0</v>
      </c>
      <c r="K100" s="1">
        <f>IF(B100="", "", "g")</f>
        <v>0</v>
      </c>
    </row>
    <row r="101" spans="1:11">
      <c r="A101">
        <f>IF(COUNTBLANK(B101:K101)&lt;&gt;COLUMNS(B101:K101),100,"")</f>
        <v>0</v>
      </c>
      <c r="C101" s="2">
        <f>IF(B101="", "", "missing: not provided")</f>
        <v>0</v>
      </c>
      <c r="D101" s="1">
        <f>IF(B101="", "", "weeks")</f>
        <v>0</v>
      </c>
      <c r="E101" s="1">
        <f>IF(B101="", "", "urban biome")</f>
        <v>0</v>
      </c>
      <c r="F101" s="1">
        <f>IF(B101="", "", "animal-associated habitat")</f>
        <v>0</v>
      </c>
      <c r="G101" s="1">
        <f>IF(B101="", "", "mouse")</f>
        <v>0</v>
      </c>
      <c r="H101" s="1">
        <f>IF(B101="", "", "Mus musculus")</f>
        <v>0</v>
      </c>
      <c r="I101" s="1">
        <f>IF(B101="", "", "10090")</f>
        <v>0</v>
      </c>
      <c r="J101" s="2">
        <f>IF(B101="", "", "missing: not provided")</f>
        <v>0</v>
      </c>
      <c r="K101" s="1">
        <f>IF(B101="", "", "g")</f>
        <v>0</v>
      </c>
    </row>
    <row r="102" spans="1:11">
      <c r="A102">
        <f>IF(COUNTBLANK(B102:K102)&lt;&gt;COLUMNS(B102:K102),101,"")</f>
        <v>0</v>
      </c>
      <c r="C102" s="2">
        <f>IF(B102="", "", "missing: not provided")</f>
        <v>0</v>
      </c>
      <c r="D102" s="1">
        <f>IF(B102="", "", "weeks")</f>
        <v>0</v>
      </c>
      <c r="E102" s="1">
        <f>IF(B102="", "", "urban biome")</f>
        <v>0</v>
      </c>
      <c r="F102" s="1">
        <f>IF(B102="", "", "animal-associated habitat")</f>
        <v>0</v>
      </c>
      <c r="G102" s="1">
        <f>IF(B102="", "", "mouse")</f>
        <v>0</v>
      </c>
      <c r="H102" s="1">
        <f>IF(B102="", "", "Mus musculus")</f>
        <v>0</v>
      </c>
      <c r="I102" s="1">
        <f>IF(B102="", "", "10090")</f>
        <v>0</v>
      </c>
      <c r="J102" s="2">
        <f>IF(B102="", "", "missing: not provided")</f>
        <v>0</v>
      </c>
      <c r="K102" s="1">
        <f>IF(B102="", "", "g")</f>
        <v>0</v>
      </c>
    </row>
    <row r="103" spans="1:11">
      <c r="A103">
        <f>IF(COUNTBLANK(B103:K103)&lt;&gt;COLUMNS(B103:K103),102,"")</f>
        <v>0</v>
      </c>
      <c r="C103" s="2">
        <f>IF(B103="", "", "missing: not provided")</f>
        <v>0</v>
      </c>
      <c r="D103" s="1">
        <f>IF(B103="", "", "weeks")</f>
        <v>0</v>
      </c>
      <c r="E103" s="1">
        <f>IF(B103="", "", "urban biome")</f>
        <v>0</v>
      </c>
      <c r="F103" s="1">
        <f>IF(B103="", "", "animal-associated habitat")</f>
        <v>0</v>
      </c>
      <c r="G103" s="1">
        <f>IF(B103="", "", "mouse")</f>
        <v>0</v>
      </c>
      <c r="H103" s="1">
        <f>IF(B103="", "", "Mus musculus")</f>
        <v>0</v>
      </c>
      <c r="I103" s="1">
        <f>IF(B103="", "", "10090")</f>
        <v>0</v>
      </c>
      <c r="J103" s="2">
        <f>IF(B103="", "", "missing: not provided")</f>
        <v>0</v>
      </c>
      <c r="K103" s="1">
        <f>IF(B103="", "", "g")</f>
        <v>0</v>
      </c>
    </row>
    <row r="104" spans="1:11">
      <c r="A104">
        <f>IF(COUNTBLANK(B104:K104)&lt;&gt;COLUMNS(B104:K104),103,"")</f>
        <v>0</v>
      </c>
      <c r="C104" s="2">
        <f>IF(B104="", "", "missing: not provided")</f>
        <v>0</v>
      </c>
      <c r="D104" s="1">
        <f>IF(B104="", "", "weeks")</f>
        <v>0</v>
      </c>
      <c r="E104" s="1">
        <f>IF(B104="", "", "urban biome")</f>
        <v>0</v>
      </c>
      <c r="F104" s="1">
        <f>IF(B104="", "", "animal-associated habitat")</f>
        <v>0</v>
      </c>
      <c r="G104" s="1">
        <f>IF(B104="", "", "mouse")</f>
        <v>0</v>
      </c>
      <c r="H104" s="1">
        <f>IF(B104="", "", "Mus musculus")</f>
        <v>0</v>
      </c>
      <c r="I104" s="1">
        <f>IF(B104="", "", "10090")</f>
        <v>0</v>
      </c>
      <c r="J104" s="2">
        <f>IF(B104="", "", "missing: not provided")</f>
        <v>0</v>
      </c>
      <c r="K104" s="1">
        <f>IF(B104="", "", "g")</f>
        <v>0</v>
      </c>
    </row>
    <row r="105" spans="1:11">
      <c r="A105">
        <f>IF(COUNTBLANK(B105:K105)&lt;&gt;COLUMNS(B105:K105),104,"")</f>
        <v>0</v>
      </c>
      <c r="C105" s="2">
        <f>IF(B105="", "", "missing: not provided")</f>
        <v>0</v>
      </c>
      <c r="D105" s="1">
        <f>IF(B105="", "", "weeks")</f>
        <v>0</v>
      </c>
      <c r="E105" s="1">
        <f>IF(B105="", "", "urban biome")</f>
        <v>0</v>
      </c>
      <c r="F105" s="1">
        <f>IF(B105="", "", "animal-associated habitat")</f>
        <v>0</v>
      </c>
      <c r="G105" s="1">
        <f>IF(B105="", "", "mouse")</f>
        <v>0</v>
      </c>
      <c r="H105" s="1">
        <f>IF(B105="", "", "Mus musculus")</f>
        <v>0</v>
      </c>
      <c r="I105" s="1">
        <f>IF(B105="", "", "10090")</f>
        <v>0</v>
      </c>
      <c r="J105" s="2">
        <f>IF(B105="", "", "missing: not provided")</f>
        <v>0</v>
      </c>
      <c r="K105" s="1">
        <f>IF(B105="", "", "g")</f>
        <v>0</v>
      </c>
    </row>
    <row r="106" spans="1:11">
      <c r="A106">
        <f>IF(COUNTBLANK(B106:K106)&lt;&gt;COLUMNS(B106:K106),105,"")</f>
        <v>0</v>
      </c>
      <c r="C106" s="2">
        <f>IF(B106="", "", "missing: not provided")</f>
        <v>0</v>
      </c>
      <c r="D106" s="1">
        <f>IF(B106="", "", "weeks")</f>
        <v>0</v>
      </c>
      <c r="E106" s="1">
        <f>IF(B106="", "", "urban biome")</f>
        <v>0</v>
      </c>
      <c r="F106" s="1">
        <f>IF(B106="", "", "animal-associated habitat")</f>
        <v>0</v>
      </c>
      <c r="G106" s="1">
        <f>IF(B106="", "", "mouse")</f>
        <v>0</v>
      </c>
      <c r="H106" s="1">
        <f>IF(B106="", "", "Mus musculus")</f>
        <v>0</v>
      </c>
      <c r="I106" s="1">
        <f>IF(B106="", "", "10090")</f>
        <v>0</v>
      </c>
      <c r="J106" s="2">
        <f>IF(B106="", "", "missing: not provided")</f>
        <v>0</v>
      </c>
      <c r="K106" s="1">
        <f>IF(B106="", "", "g")</f>
        <v>0</v>
      </c>
    </row>
    <row r="107" spans="1:11">
      <c r="A107">
        <f>IF(COUNTBLANK(B107:K107)&lt;&gt;COLUMNS(B107:K107),106,"")</f>
        <v>0</v>
      </c>
      <c r="C107" s="2">
        <f>IF(B107="", "", "missing: not provided")</f>
        <v>0</v>
      </c>
      <c r="D107" s="1">
        <f>IF(B107="", "", "weeks")</f>
        <v>0</v>
      </c>
      <c r="E107" s="1">
        <f>IF(B107="", "", "urban biome")</f>
        <v>0</v>
      </c>
      <c r="F107" s="1">
        <f>IF(B107="", "", "animal-associated habitat")</f>
        <v>0</v>
      </c>
      <c r="G107" s="1">
        <f>IF(B107="", "", "mouse")</f>
        <v>0</v>
      </c>
      <c r="H107" s="1">
        <f>IF(B107="", "", "Mus musculus")</f>
        <v>0</v>
      </c>
      <c r="I107" s="1">
        <f>IF(B107="", "", "10090")</f>
        <v>0</v>
      </c>
      <c r="J107" s="2">
        <f>IF(B107="", "", "missing: not provided")</f>
        <v>0</v>
      </c>
      <c r="K107" s="1">
        <f>IF(B107="", "", "g")</f>
        <v>0</v>
      </c>
    </row>
    <row r="108" spans="1:11">
      <c r="A108">
        <f>IF(COUNTBLANK(B108:K108)&lt;&gt;COLUMNS(B108:K108),107,"")</f>
        <v>0</v>
      </c>
      <c r="C108" s="2">
        <f>IF(B108="", "", "missing: not provided")</f>
        <v>0</v>
      </c>
      <c r="D108" s="1">
        <f>IF(B108="", "", "weeks")</f>
        <v>0</v>
      </c>
      <c r="E108" s="1">
        <f>IF(B108="", "", "urban biome")</f>
        <v>0</v>
      </c>
      <c r="F108" s="1">
        <f>IF(B108="", "", "animal-associated habitat")</f>
        <v>0</v>
      </c>
      <c r="G108" s="1">
        <f>IF(B108="", "", "mouse")</f>
        <v>0</v>
      </c>
      <c r="H108" s="1">
        <f>IF(B108="", "", "Mus musculus")</f>
        <v>0</v>
      </c>
      <c r="I108" s="1">
        <f>IF(B108="", "", "10090")</f>
        <v>0</v>
      </c>
      <c r="J108" s="2">
        <f>IF(B108="", "", "missing: not provided")</f>
        <v>0</v>
      </c>
      <c r="K108" s="1">
        <f>IF(B108="", "", "g")</f>
        <v>0</v>
      </c>
    </row>
    <row r="109" spans="1:11">
      <c r="A109">
        <f>IF(COUNTBLANK(B109:K109)&lt;&gt;COLUMNS(B109:K109),108,"")</f>
        <v>0</v>
      </c>
      <c r="C109" s="2">
        <f>IF(B109="", "", "missing: not provided")</f>
        <v>0</v>
      </c>
      <c r="D109" s="1">
        <f>IF(B109="", "", "weeks")</f>
        <v>0</v>
      </c>
      <c r="E109" s="1">
        <f>IF(B109="", "", "urban biome")</f>
        <v>0</v>
      </c>
      <c r="F109" s="1">
        <f>IF(B109="", "", "animal-associated habitat")</f>
        <v>0</v>
      </c>
      <c r="G109" s="1">
        <f>IF(B109="", "", "mouse")</f>
        <v>0</v>
      </c>
      <c r="H109" s="1">
        <f>IF(B109="", "", "Mus musculus")</f>
        <v>0</v>
      </c>
      <c r="I109" s="1">
        <f>IF(B109="", "", "10090")</f>
        <v>0</v>
      </c>
      <c r="J109" s="2">
        <f>IF(B109="", "", "missing: not provided")</f>
        <v>0</v>
      </c>
      <c r="K109" s="1">
        <f>IF(B109="", "", "g")</f>
        <v>0</v>
      </c>
    </row>
    <row r="110" spans="1:11">
      <c r="A110">
        <f>IF(COUNTBLANK(B110:K110)&lt;&gt;COLUMNS(B110:K110),109,"")</f>
        <v>0</v>
      </c>
      <c r="C110" s="2">
        <f>IF(B110="", "", "missing: not provided")</f>
        <v>0</v>
      </c>
      <c r="D110" s="1">
        <f>IF(B110="", "", "weeks")</f>
        <v>0</v>
      </c>
      <c r="E110" s="1">
        <f>IF(B110="", "", "urban biome")</f>
        <v>0</v>
      </c>
      <c r="F110" s="1">
        <f>IF(B110="", "", "animal-associated habitat")</f>
        <v>0</v>
      </c>
      <c r="G110" s="1">
        <f>IF(B110="", "", "mouse")</f>
        <v>0</v>
      </c>
      <c r="H110" s="1">
        <f>IF(B110="", "", "Mus musculus")</f>
        <v>0</v>
      </c>
      <c r="I110" s="1">
        <f>IF(B110="", "", "10090")</f>
        <v>0</v>
      </c>
      <c r="J110" s="2">
        <f>IF(B110="", "", "missing: not provided")</f>
        <v>0</v>
      </c>
      <c r="K110" s="1">
        <f>IF(B110="", "", "g")</f>
        <v>0</v>
      </c>
    </row>
    <row r="111" spans="1:11">
      <c r="A111">
        <f>IF(COUNTBLANK(B111:K111)&lt;&gt;COLUMNS(B111:K111),110,"")</f>
        <v>0</v>
      </c>
      <c r="C111" s="2">
        <f>IF(B111="", "", "missing: not provided")</f>
        <v>0</v>
      </c>
      <c r="D111" s="1">
        <f>IF(B111="", "", "weeks")</f>
        <v>0</v>
      </c>
      <c r="E111" s="1">
        <f>IF(B111="", "", "urban biome")</f>
        <v>0</v>
      </c>
      <c r="F111" s="1">
        <f>IF(B111="", "", "animal-associated habitat")</f>
        <v>0</v>
      </c>
      <c r="G111" s="1">
        <f>IF(B111="", "", "mouse")</f>
        <v>0</v>
      </c>
      <c r="H111" s="1">
        <f>IF(B111="", "", "Mus musculus")</f>
        <v>0</v>
      </c>
      <c r="I111" s="1">
        <f>IF(B111="", "", "10090")</f>
        <v>0</v>
      </c>
      <c r="J111" s="2">
        <f>IF(B111="", "", "missing: not provided")</f>
        <v>0</v>
      </c>
      <c r="K111" s="1">
        <f>IF(B111="", "", "g")</f>
        <v>0</v>
      </c>
    </row>
    <row r="112" spans="1:11">
      <c r="A112">
        <f>IF(COUNTBLANK(B112:K112)&lt;&gt;COLUMNS(B112:K112),111,"")</f>
        <v>0</v>
      </c>
      <c r="C112" s="2">
        <f>IF(B112="", "", "missing: not provided")</f>
        <v>0</v>
      </c>
      <c r="D112" s="1">
        <f>IF(B112="", "", "weeks")</f>
        <v>0</v>
      </c>
      <c r="E112" s="1">
        <f>IF(B112="", "", "urban biome")</f>
        <v>0</v>
      </c>
      <c r="F112" s="1">
        <f>IF(B112="", "", "animal-associated habitat")</f>
        <v>0</v>
      </c>
      <c r="G112" s="1">
        <f>IF(B112="", "", "mouse")</f>
        <v>0</v>
      </c>
      <c r="H112" s="1">
        <f>IF(B112="", "", "Mus musculus")</f>
        <v>0</v>
      </c>
      <c r="I112" s="1">
        <f>IF(B112="", "", "10090")</f>
        <v>0</v>
      </c>
      <c r="J112" s="2">
        <f>IF(B112="", "", "missing: not provided")</f>
        <v>0</v>
      </c>
      <c r="K112" s="1">
        <f>IF(B112="", "", "g")</f>
        <v>0</v>
      </c>
    </row>
    <row r="113" spans="1:11">
      <c r="A113">
        <f>IF(COUNTBLANK(B113:K113)&lt;&gt;COLUMNS(B113:K113),112,"")</f>
        <v>0</v>
      </c>
      <c r="C113" s="2">
        <f>IF(B113="", "", "missing: not provided")</f>
        <v>0</v>
      </c>
      <c r="D113" s="1">
        <f>IF(B113="", "", "weeks")</f>
        <v>0</v>
      </c>
      <c r="E113" s="1">
        <f>IF(B113="", "", "urban biome")</f>
        <v>0</v>
      </c>
      <c r="F113" s="1">
        <f>IF(B113="", "", "animal-associated habitat")</f>
        <v>0</v>
      </c>
      <c r="G113" s="1">
        <f>IF(B113="", "", "mouse")</f>
        <v>0</v>
      </c>
      <c r="H113" s="1">
        <f>IF(B113="", "", "Mus musculus")</f>
        <v>0</v>
      </c>
      <c r="I113" s="1">
        <f>IF(B113="", "", "10090")</f>
        <v>0</v>
      </c>
      <c r="J113" s="2">
        <f>IF(B113="", "", "missing: not provided")</f>
        <v>0</v>
      </c>
      <c r="K113" s="1">
        <f>IF(B113="", "", "g")</f>
        <v>0</v>
      </c>
    </row>
    <row r="114" spans="1:11">
      <c r="A114">
        <f>IF(COUNTBLANK(B114:K114)&lt;&gt;COLUMNS(B114:K114),113,"")</f>
        <v>0</v>
      </c>
      <c r="C114" s="2">
        <f>IF(B114="", "", "missing: not provided")</f>
        <v>0</v>
      </c>
      <c r="D114" s="1">
        <f>IF(B114="", "", "weeks")</f>
        <v>0</v>
      </c>
      <c r="E114" s="1">
        <f>IF(B114="", "", "urban biome")</f>
        <v>0</v>
      </c>
      <c r="F114" s="1">
        <f>IF(B114="", "", "animal-associated habitat")</f>
        <v>0</v>
      </c>
      <c r="G114" s="1">
        <f>IF(B114="", "", "mouse")</f>
        <v>0</v>
      </c>
      <c r="H114" s="1">
        <f>IF(B114="", "", "Mus musculus")</f>
        <v>0</v>
      </c>
      <c r="I114" s="1">
        <f>IF(B114="", "", "10090")</f>
        <v>0</v>
      </c>
      <c r="J114" s="2">
        <f>IF(B114="", "", "missing: not provided")</f>
        <v>0</v>
      </c>
      <c r="K114" s="1">
        <f>IF(B114="", "", "g")</f>
        <v>0</v>
      </c>
    </row>
    <row r="115" spans="1:11">
      <c r="A115">
        <f>IF(COUNTBLANK(B115:K115)&lt;&gt;COLUMNS(B115:K115),114,"")</f>
        <v>0</v>
      </c>
      <c r="C115" s="2">
        <f>IF(B115="", "", "missing: not provided")</f>
        <v>0</v>
      </c>
      <c r="D115" s="1">
        <f>IF(B115="", "", "weeks")</f>
        <v>0</v>
      </c>
      <c r="E115" s="1">
        <f>IF(B115="", "", "urban biome")</f>
        <v>0</v>
      </c>
      <c r="F115" s="1">
        <f>IF(B115="", "", "animal-associated habitat")</f>
        <v>0</v>
      </c>
      <c r="G115" s="1">
        <f>IF(B115="", "", "mouse")</f>
        <v>0</v>
      </c>
      <c r="H115" s="1">
        <f>IF(B115="", "", "Mus musculus")</f>
        <v>0</v>
      </c>
      <c r="I115" s="1">
        <f>IF(B115="", "", "10090")</f>
        <v>0</v>
      </c>
      <c r="J115" s="2">
        <f>IF(B115="", "", "missing: not provided")</f>
        <v>0</v>
      </c>
      <c r="K115" s="1">
        <f>IF(B115="", "", "g")</f>
        <v>0</v>
      </c>
    </row>
    <row r="116" spans="1:11">
      <c r="A116">
        <f>IF(COUNTBLANK(B116:K116)&lt;&gt;COLUMNS(B116:K116),115,"")</f>
        <v>0</v>
      </c>
      <c r="C116" s="2">
        <f>IF(B116="", "", "missing: not provided")</f>
        <v>0</v>
      </c>
      <c r="D116" s="1">
        <f>IF(B116="", "", "weeks")</f>
        <v>0</v>
      </c>
      <c r="E116" s="1">
        <f>IF(B116="", "", "urban biome")</f>
        <v>0</v>
      </c>
      <c r="F116" s="1">
        <f>IF(B116="", "", "animal-associated habitat")</f>
        <v>0</v>
      </c>
      <c r="G116" s="1">
        <f>IF(B116="", "", "mouse")</f>
        <v>0</v>
      </c>
      <c r="H116" s="1">
        <f>IF(B116="", "", "Mus musculus")</f>
        <v>0</v>
      </c>
      <c r="I116" s="1">
        <f>IF(B116="", "", "10090")</f>
        <v>0</v>
      </c>
      <c r="J116" s="2">
        <f>IF(B116="", "", "missing: not provided")</f>
        <v>0</v>
      </c>
      <c r="K116" s="1">
        <f>IF(B116="", "", "g")</f>
        <v>0</v>
      </c>
    </row>
    <row r="117" spans="1:11">
      <c r="A117">
        <f>IF(COUNTBLANK(B117:K117)&lt;&gt;COLUMNS(B117:K117),116,"")</f>
        <v>0</v>
      </c>
      <c r="C117" s="2">
        <f>IF(B117="", "", "missing: not provided")</f>
        <v>0</v>
      </c>
      <c r="D117" s="1">
        <f>IF(B117="", "", "weeks")</f>
        <v>0</v>
      </c>
      <c r="E117" s="1">
        <f>IF(B117="", "", "urban biome")</f>
        <v>0</v>
      </c>
      <c r="F117" s="1">
        <f>IF(B117="", "", "animal-associated habitat")</f>
        <v>0</v>
      </c>
      <c r="G117" s="1">
        <f>IF(B117="", "", "mouse")</f>
        <v>0</v>
      </c>
      <c r="H117" s="1">
        <f>IF(B117="", "", "Mus musculus")</f>
        <v>0</v>
      </c>
      <c r="I117" s="1">
        <f>IF(B117="", "", "10090")</f>
        <v>0</v>
      </c>
      <c r="J117" s="2">
        <f>IF(B117="", "", "missing: not provided")</f>
        <v>0</v>
      </c>
      <c r="K117" s="1">
        <f>IF(B117="", "", "g")</f>
        <v>0</v>
      </c>
    </row>
    <row r="118" spans="1:11">
      <c r="A118">
        <f>IF(COUNTBLANK(B118:K118)&lt;&gt;COLUMNS(B118:K118),117,"")</f>
        <v>0</v>
      </c>
      <c r="C118" s="2">
        <f>IF(B118="", "", "missing: not provided")</f>
        <v>0</v>
      </c>
      <c r="D118" s="1">
        <f>IF(B118="", "", "weeks")</f>
        <v>0</v>
      </c>
      <c r="E118" s="1">
        <f>IF(B118="", "", "urban biome")</f>
        <v>0</v>
      </c>
      <c r="F118" s="1">
        <f>IF(B118="", "", "animal-associated habitat")</f>
        <v>0</v>
      </c>
      <c r="G118" s="1">
        <f>IF(B118="", "", "mouse")</f>
        <v>0</v>
      </c>
      <c r="H118" s="1">
        <f>IF(B118="", "", "Mus musculus")</f>
        <v>0</v>
      </c>
      <c r="I118" s="1">
        <f>IF(B118="", "", "10090")</f>
        <v>0</v>
      </c>
      <c r="J118" s="2">
        <f>IF(B118="", "", "missing: not provided")</f>
        <v>0</v>
      </c>
      <c r="K118" s="1">
        <f>IF(B118="", "", "g")</f>
        <v>0</v>
      </c>
    </row>
    <row r="119" spans="1:11">
      <c r="A119">
        <f>IF(COUNTBLANK(B119:K119)&lt;&gt;COLUMNS(B119:K119),118,"")</f>
        <v>0</v>
      </c>
      <c r="C119" s="2">
        <f>IF(B119="", "", "missing: not provided")</f>
        <v>0</v>
      </c>
      <c r="D119" s="1">
        <f>IF(B119="", "", "weeks")</f>
        <v>0</v>
      </c>
      <c r="E119" s="1">
        <f>IF(B119="", "", "urban biome")</f>
        <v>0</v>
      </c>
      <c r="F119" s="1">
        <f>IF(B119="", "", "animal-associated habitat")</f>
        <v>0</v>
      </c>
      <c r="G119" s="1">
        <f>IF(B119="", "", "mouse")</f>
        <v>0</v>
      </c>
      <c r="H119" s="1">
        <f>IF(B119="", "", "Mus musculus")</f>
        <v>0</v>
      </c>
      <c r="I119" s="1">
        <f>IF(B119="", "", "10090")</f>
        <v>0</v>
      </c>
      <c r="J119" s="2">
        <f>IF(B119="", "", "missing: not provided")</f>
        <v>0</v>
      </c>
      <c r="K119" s="1">
        <f>IF(B119="", "", "g")</f>
        <v>0</v>
      </c>
    </row>
    <row r="120" spans="1:11">
      <c r="A120">
        <f>IF(COUNTBLANK(B120:K120)&lt;&gt;COLUMNS(B120:K120),119,"")</f>
        <v>0</v>
      </c>
      <c r="C120" s="2">
        <f>IF(B120="", "", "missing: not provided")</f>
        <v>0</v>
      </c>
      <c r="D120" s="1">
        <f>IF(B120="", "", "weeks")</f>
        <v>0</v>
      </c>
      <c r="E120" s="1">
        <f>IF(B120="", "", "urban biome")</f>
        <v>0</v>
      </c>
      <c r="F120" s="1">
        <f>IF(B120="", "", "animal-associated habitat")</f>
        <v>0</v>
      </c>
      <c r="G120" s="1">
        <f>IF(B120="", "", "mouse")</f>
        <v>0</v>
      </c>
      <c r="H120" s="1">
        <f>IF(B120="", "", "Mus musculus")</f>
        <v>0</v>
      </c>
      <c r="I120" s="1">
        <f>IF(B120="", "", "10090")</f>
        <v>0</v>
      </c>
      <c r="J120" s="2">
        <f>IF(B120="", "", "missing: not provided")</f>
        <v>0</v>
      </c>
      <c r="K120" s="1">
        <f>IF(B120="", "", "g")</f>
        <v>0</v>
      </c>
    </row>
    <row r="121" spans="1:11">
      <c r="A121">
        <f>IF(COUNTBLANK(B121:K121)&lt;&gt;COLUMNS(B121:K121),120,"")</f>
        <v>0</v>
      </c>
      <c r="C121" s="2">
        <f>IF(B121="", "", "missing: not provided")</f>
        <v>0</v>
      </c>
      <c r="D121" s="1">
        <f>IF(B121="", "", "weeks")</f>
        <v>0</v>
      </c>
      <c r="E121" s="1">
        <f>IF(B121="", "", "urban biome")</f>
        <v>0</v>
      </c>
      <c r="F121" s="1">
        <f>IF(B121="", "", "animal-associated habitat")</f>
        <v>0</v>
      </c>
      <c r="G121" s="1">
        <f>IF(B121="", "", "mouse")</f>
        <v>0</v>
      </c>
      <c r="H121" s="1">
        <f>IF(B121="", "", "Mus musculus")</f>
        <v>0</v>
      </c>
      <c r="I121" s="1">
        <f>IF(B121="", "", "10090")</f>
        <v>0</v>
      </c>
      <c r="J121" s="2">
        <f>IF(B121="", "", "missing: not provided")</f>
        <v>0</v>
      </c>
      <c r="K121" s="1">
        <f>IF(B121="", "", "g")</f>
        <v>0</v>
      </c>
    </row>
    <row r="122" spans="1:11">
      <c r="A122">
        <f>IF(COUNTBLANK(B122:K122)&lt;&gt;COLUMNS(B122:K122),121,"")</f>
        <v>0</v>
      </c>
      <c r="C122" s="2">
        <f>IF(B122="", "", "missing: not provided")</f>
        <v>0</v>
      </c>
      <c r="D122" s="1">
        <f>IF(B122="", "", "weeks")</f>
        <v>0</v>
      </c>
      <c r="E122" s="1">
        <f>IF(B122="", "", "urban biome")</f>
        <v>0</v>
      </c>
      <c r="F122" s="1">
        <f>IF(B122="", "", "animal-associated habitat")</f>
        <v>0</v>
      </c>
      <c r="G122" s="1">
        <f>IF(B122="", "", "mouse")</f>
        <v>0</v>
      </c>
      <c r="H122" s="1">
        <f>IF(B122="", "", "Mus musculus")</f>
        <v>0</v>
      </c>
      <c r="I122" s="1">
        <f>IF(B122="", "", "10090")</f>
        <v>0</v>
      </c>
      <c r="J122" s="2">
        <f>IF(B122="", "", "missing: not provided")</f>
        <v>0</v>
      </c>
      <c r="K122" s="1">
        <f>IF(B122="", "", "g")</f>
        <v>0</v>
      </c>
    </row>
    <row r="123" spans="1:11">
      <c r="A123">
        <f>IF(COUNTBLANK(B123:K123)&lt;&gt;COLUMNS(B123:K123),122,"")</f>
        <v>0</v>
      </c>
      <c r="C123" s="2">
        <f>IF(B123="", "", "missing: not provided")</f>
        <v>0</v>
      </c>
      <c r="D123" s="1">
        <f>IF(B123="", "", "weeks")</f>
        <v>0</v>
      </c>
      <c r="E123" s="1">
        <f>IF(B123="", "", "urban biome")</f>
        <v>0</v>
      </c>
      <c r="F123" s="1">
        <f>IF(B123="", "", "animal-associated habitat")</f>
        <v>0</v>
      </c>
      <c r="G123" s="1">
        <f>IF(B123="", "", "mouse")</f>
        <v>0</v>
      </c>
      <c r="H123" s="1">
        <f>IF(B123="", "", "Mus musculus")</f>
        <v>0</v>
      </c>
      <c r="I123" s="1">
        <f>IF(B123="", "", "10090")</f>
        <v>0</v>
      </c>
      <c r="J123" s="2">
        <f>IF(B123="", "", "missing: not provided")</f>
        <v>0</v>
      </c>
      <c r="K123" s="1">
        <f>IF(B123="", "", "g")</f>
        <v>0</v>
      </c>
    </row>
    <row r="124" spans="1:11">
      <c r="A124">
        <f>IF(COUNTBLANK(B124:K124)&lt;&gt;COLUMNS(B124:K124),123,"")</f>
        <v>0</v>
      </c>
      <c r="C124" s="2">
        <f>IF(B124="", "", "missing: not provided")</f>
        <v>0</v>
      </c>
      <c r="D124" s="1">
        <f>IF(B124="", "", "weeks")</f>
        <v>0</v>
      </c>
      <c r="E124" s="1">
        <f>IF(B124="", "", "urban biome")</f>
        <v>0</v>
      </c>
      <c r="F124" s="1">
        <f>IF(B124="", "", "animal-associated habitat")</f>
        <v>0</v>
      </c>
      <c r="G124" s="1">
        <f>IF(B124="", "", "mouse")</f>
        <v>0</v>
      </c>
      <c r="H124" s="1">
        <f>IF(B124="", "", "Mus musculus")</f>
        <v>0</v>
      </c>
      <c r="I124" s="1">
        <f>IF(B124="", "", "10090")</f>
        <v>0</v>
      </c>
      <c r="J124" s="2">
        <f>IF(B124="", "", "missing: not provided")</f>
        <v>0</v>
      </c>
      <c r="K124" s="1">
        <f>IF(B124="", "", "g")</f>
        <v>0</v>
      </c>
    </row>
    <row r="125" spans="1:11">
      <c r="A125">
        <f>IF(COUNTBLANK(B125:K125)&lt;&gt;COLUMNS(B125:K125),124,"")</f>
        <v>0</v>
      </c>
      <c r="C125" s="2">
        <f>IF(B125="", "", "missing: not provided")</f>
        <v>0</v>
      </c>
      <c r="D125" s="1">
        <f>IF(B125="", "", "weeks")</f>
        <v>0</v>
      </c>
      <c r="E125" s="1">
        <f>IF(B125="", "", "urban biome")</f>
        <v>0</v>
      </c>
      <c r="F125" s="1">
        <f>IF(B125="", "", "animal-associated habitat")</f>
        <v>0</v>
      </c>
      <c r="G125" s="1">
        <f>IF(B125="", "", "mouse")</f>
        <v>0</v>
      </c>
      <c r="H125" s="1">
        <f>IF(B125="", "", "Mus musculus")</f>
        <v>0</v>
      </c>
      <c r="I125" s="1">
        <f>IF(B125="", "", "10090")</f>
        <v>0</v>
      </c>
      <c r="J125" s="2">
        <f>IF(B125="", "", "missing: not provided")</f>
        <v>0</v>
      </c>
      <c r="K125" s="1">
        <f>IF(B125="", "", "g")</f>
        <v>0</v>
      </c>
    </row>
    <row r="126" spans="1:11">
      <c r="A126">
        <f>IF(COUNTBLANK(B126:K126)&lt;&gt;COLUMNS(B126:K126),125,"")</f>
        <v>0</v>
      </c>
      <c r="C126" s="2">
        <f>IF(B126="", "", "missing: not provided")</f>
        <v>0</v>
      </c>
      <c r="D126" s="1">
        <f>IF(B126="", "", "weeks")</f>
        <v>0</v>
      </c>
      <c r="E126" s="1">
        <f>IF(B126="", "", "urban biome")</f>
        <v>0</v>
      </c>
      <c r="F126" s="1">
        <f>IF(B126="", "", "animal-associated habitat")</f>
        <v>0</v>
      </c>
      <c r="G126" s="1">
        <f>IF(B126="", "", "mouse")</f>
        <v>0</v>
      </c>
      <c r="H126" s="1">
        <f>IF(B126="", "", "Mus musculus")</f>
        <v>0</v>
      </c>
      <c r="I126" s="1">
        <f>IF(B126="", "", "10090")</f>
        <v>0</v>
      </c>
      <c r="J126" s="2">
        <f>IF(B126="", "", "missing: not provided")</f>
        <v>0</v>
      </c>
      <c r="K126" s="1">
        <f>IF(B126="", "", "g")</f>
        <v>0</v>
      </c>
    </row>
    <row r="127" spans="1:11">
      <c r="A127">
        <f>IF(COUNTBLANK(B127:K127)&lt;&gt;COLUMNS(B127:K127),126,"")</f>
        <v>0</v>
      </c>
      <c r="C127" s="2">
        <f>IF(B127="", "", "missing: not provided")</f>
        <v>0</v>
      </c>
      <c r="D127" s="1">
        <f>IF(B127="", "", "weeks")</f>
        <v>0</v>
      </c>
      <c r="E127" s="1">
        <f>IF(B127="", "", "urban biome")</f>
        <v>0</v>
      </c>
      <c r="F127" s="1">
        <f>IF(B127="", "", "animal-associated habitat")</f>
        <v>0</v>
      </c>
      <c r="G127" s="1">
        <f>IF(B127="", "", "mouse")</f>
        <v>0</v>
      </c>
      <c r="H127" s="1">
        <f>IF(B127="", "", "Mus musculus")</f>
        <v>0</v>
      </c>
      <c r="I127" s="1">
        <f>IF(B127="", "", "10090")</f>
        <v>0</v>
      </c>
      <c r="J127" s="2">
        <f>IF(B127="", "", "missing: not provided")</f>
        <v>0</v>
      </c>
      <c r="K127" s="1">
        <f>IF(B127="", "", "g")</f>
        <v>0</v>
      </c>
    </row>
    <row r="128" spans="1:11">
      <c r="A128">
        <f>IF(COUNTBLANK(B128:K128)&lt;&gt;COLUMNS(B128:K128),127,"")</f>
        <v>0</v>
      </c>
      <c r="C128" s="2">
        <f>IF(B128="", "", "missing: not provided")</f>
        <v>0</v>
      </c>
      <c r="D128" s="1">
        <f>IF(B128="", "", "weeks")</f>
        <v>0</v>
      </c>
      <c r="E128" s="1">
        <f>IF(B128="", "", "urban biome")</f>
        <v>0</v>
      </c>
      <c r="F128" s="1">
        <f>IF(B128="", "", "animal-associated habitat")</f>
        <v>0</v>
      </c>
      <c r="G128" s="1">
        <f>IF(B128="", "", "mouse")</f>
        <v>0</v>
      </c>
      <c r="H128" s="1">
        <f>IF(B128="", "", "Mus musculus")</f>
        <v>0</v>
      </c>
      <c r="I128" s="1">
        <f>IF(B128="", "", "10090")</f>
        <v>0</v>
      </c>
      <c r="J128" s="2">
        <f>IF(B128="", "", "missing: not provided")</f>
        <v>0</v>
      </c>
      <c r="K128" s="1">
        <f>IF(B128="", "", "g")</f>
        <v>0</v>
      </c>
    </row>
    <row r="129" spans="1:11">
      <c r="A129">
        <f>IF(COUNTBLANK(B129:K129)&lt;&gt;COLUMNS(B129:K129),128,"")</f>
        <v>0</v>
      </c>
      <c r="C129" s="2">
        <f>IF(B129="", "", "missing: not provided")</f>
        <v>0</v>
      </c>
      <c r="D129" s="1">
        <f>IF(B129="", "", "weeks")</f>
        <v>0</v>
      </c>
      <c r="E129" s="1">
        <f>IF(B129="", "", "urban biome")</f>
        <v>0</v>
      </c>
      <c r="F129" s="1">
        <f>IF(B129="", "", "animal-associated habitat")</f>
        <v>0</v>
      </c>
      <c r="G129" s="1">
        <f>IF(B129="", "", "mouse")</f>
        <v>0</v>
      </c>
      <c r="H129" s="1">
        <f>IF(B129="", "", "Mus musculus")</f>
        <v>0</v>
      </c>
      <c r="I129" s="1">
        <f>IF(B129="", "", "10090")</f>
        <v>0</v>
      </c>
      <c r="J129" s="2">
        <f>IF(B129="", "", "missing: not provided")</f>
        <v>0</v>
      </c>
      <c r="K129" s="1">
        <f>IF(B129="", "", "g")</f>
        <v>0</v>
      </c>
    </row>
    <row r="130" spans="1:11">
      <c r="A130">
        <f>IF(COUNTBLANK(B130:K130)&lt;&gt;COLUMNS(B130:K130),129,"")</f>
        <v>0</v>
      </c>
      <c r="C130" s="2">
        <f>IF(B130="", "", "missing: not provided")</f>
        <v>0</v>
      </c>
      <c r="D130" s="1">
        <f>IF(B130="", "", "weeks")</f>
        <v>0</v>
      </c>
      <c r="E130" s="1">
        <f>IF(B130="", "", "urban biome")</f>
        <v>0</v>
      </c>
      <c r="F130" s="1">
        <f>IF(B130="", "", "animal-associated habitat")</f>
        <v>0</v>
      </c>
      <c r="G130" s="1">
        <f>IF(B130="", "", "mouse")</f>
        <v>0</v>
      </c>
      <c r="H130" s="1">
        <f>IF(B130="", "", "Mus musculus")</f>
        <v>0</v>
      </c>
      <c r="I130" s="1">
        <f>IF(B130="", "", "10090")</f>
        <v>0</v>
      </c>
      <c r="J130" s="2">
        <f>IF(B130="", "", "missing: not provided")</f>
        <v>0</v>
      </c>
      <c r="K130" s="1">
        <f>IF(B130="", "", "g")</f>
        <v>0</v>
      </c>
    </row>
    <row r="131" spans="1:11">
      <c r="A131">
        <f>IF(COUNTBLANK(B131:K131)&lt;&gt;COLUMNS(B131:K131),130,"")</f>
        <v>0</v>
      </c>
      <c r="C131" s="2">
        <f>IF(B131="", "", "missing: not provided")</f>
        <v>0</v>
      </c>
      <c r="D131" s="1">
        <f>IF(B131="", "", "weeks")</f>
        <v>0</v>
      </c>
      <c r="E131" s="1">
        <f>IF(B131="", "", "urban biome")</f>
        <v>0</v>
      </c>
      <c r="F131" s="1">
        <f>IF(B131="", "", "animal-associated habitat")</f>
        <v>0</v>
      </c>
      <c r="G131" s="1">
        <f>IF(B131="", "", "mouse")</f>
        <v>0</v>
      </c>
      <c r="H131" s="1">
        <f>IF(B131="", "", "Mus musculus")</f>
        <v>0</v>
      </c>
      <c r="I131" s="1">
        <f>IF(B131="", "", "10090")</f>
        <v>0</v>
      </c>
      <c r="J131" s="2">
        <f>IF(B131="", "", "missing: not provided")</f>
        <v>0</v>
      </c>
      <c r="K131" s="1">
        <f>IF(B131="", "", "g")</f>
        <v>0</v>
      </c>
    </row>
    <row r="132" spans="1:11">
      <c r="A132">
        <f>IF(COUNTBLANK(B132:K132)&lt;&gt;COLUMNS(B132:K132),131,"")</f>
        <v>0</v>
      </c>
      <c r="C132" s="2">
        <f>IF(B132="", "", "missing: not provided")</f>
        <v>0</v>
      </c>
      <c r="D132" s="1">
        <f>IF(B132="", "", "weeks")</f>
        <v>0</v>
      </c>
      <c r="E132" s="1">
        <f>IF(B132="", "", "urban biome")</f>
        <v>0</v>
      </c>
      <c r="F132" s="1">
        <f>IF(B132="", "", "animal-associated habitat")</f>
        <v>0</v>
      </c>
      <c r="G132" s="1">
        <f>IF(B132="", "", "mouse")</f>
        <v>0</v>
      </c>
      <c r="H132" s="1">
        <f>IF(B132="", "", "Mus musculus")</f>
        <v>0</v>
      </c>
      <c r="I132" s="1">
        <f>IF(B132="", "", "10090")</f>
        <v>0</v>
      </c>
      <c r="J132" s="2">
        <f>IF(B132="", "", "missing: not provided")</f>
        <v>0</v>
      </c>
      <c r="K132" s="1">
        <f>IF(B132="", "", "g")</f>
        <v>0</v>
      </c>
    </row>
    <row r="133" spans="1:11">
      <c r="A133">
        <f>IF(COUNTBLANK(B133:K133)&lt;&gt;COLUMNS(B133:K133),132,"")</f>
        <v>0</v>
      </c>
      <c r="C133" s="2">
        <f>IF(B133="", "", "missing: not provided")</f>
        <v>0</v>
      </c>
      <c r="D133" s="1">
        <f>IF(B133="", "", "weeks")</f>
        <v>0</v>
      </c>
      <c r="E133" s="1">
        <f>IF(B133="", "", "urban biome")</f>
        <v>0</v>
      </c>
      <c r="F133" s="1">
        <f>IF(B133="", "", "animal-associated habitat")</f>
        <v>0</v>
      </c>
      <c r="G133" s="1">
        <f>IF(B133="", "", "mouse")</f>
        <v>0</v>
      </c>
      <c r="H133" s="1">
        <f>IF(B133="", "", "Mus musculus")</f>
        <v>0</v>
      </c>
      <c r="I133" s="1">
        <f>IF(B133="", "", "10090")</f>
        <v>0</v>
      </c>
      <c r="J133" s="2">
        <f>IF(B133="", "", "missing: not provided")</f>
        <v>0</v>
      </c>
      <c r="K133" s="1">
        <f>IF(B133="", "", "g")</f>
        <v>0</v>
      </c>
    </row>
    <row r="134" spans="1:11">
      <c r="A134">
        <f>IF(COUNTBLANK(B134:K134)&lt;&gt;COLUMNS(B134:K134),133,"")</f>
        <v>0</v>
      </c>
      <c r="C134" s="2">
        <f>IF(B134="", "", "missing: not provided")</f>
        <v>0</v>
      </c>
      <c r="D134" s="1">
        <f>IF(B134="", "", "weeks")</f>
        <v>0</v>
      </c>
      <c r="E134" s="1">
        <f>IF(B134="", "", "urban biome")</f>
        <v>0</v>
      </c>
      <c r="F134" s="1">
        <f>IF(B134="", "", "animal-associated habitat")</f>
        <v>0</v>
      </c>
      <c r="G134" s="1">
        <f>IF(B134="", "", "mouse")</f>
        <v>0</v>
      </c>
      <c r="H134" s="1">
        <f>IF(B134="", "", "Mus musculus")</f>
        <v>0</v>
      </c>
      <c r="I134" s="1">
        <f>IF(B134="", "", "10090")</f>
        <v>0</v>
      </c>
      <c r="J134" s="2">
        <f>IF(B134="", "", "missing: not provided")</f>
        <v>0</v>
      </c>
      <c r="K134" s="1">
        <f>IF(B134="", "", "g")</f>
        <v>0</v>
      </c>
    </row>
    <row r="135" spans="1:11">
      <c r="A135">
        <f>IF(COUNTBLANK(B135:K135)&lt;&gt;COLUMNS(B135:K135),134,"")</f>
        <v>0</v>
      </c>
      <c r="C135" s="2">
        <f>IF(B135="", "", "missing: not provided")</f>
        <v>0</v>
      </c>
      <c r="D135" s="1">
        <f>IF(B135="", "", "weeks")</f>
        <v>0</v>
      </c>
      <c r="E135" s="1">
        <f>IF(B135="", "", "urban biome")</f>
        <v>0</v>
      </c>
      <c r="F135" s="1">
        <f>IF(B135="", "", "animal-associated habitat")</f>
        <v>0</v>
      </c>
      <c r="G135" s="1">
        <f>IF(B135="", "", "mouse")</f>
        <v>0</v>
      </c>
      <c r="H135" s="1">
        <f>IF(B135="", "", "Mus musculus")</f>
        <v>0</v>
      </c>
      <c r="I135" s="1">
        <f>IF(B135="", "", "10090")</f>
        <v>0</v>
      </c>
      <c r="J135" s="2">
        <f>IF(B135="", "", "missing: not provided")</f>
        <v>0</v>
      </c>
      <c r="K135" s="1">
        <f>IF(B135="", "", "g")</f>
        <v>0</v>
      </c>
    </row>
    <row r="136" spans="1:11">
      <c r="A136">
        <f>IF(COUNTBLANK(B136:K136)&lt;&gt;COLUMNS(B136:K136),135,"")</f>
        <v>0</v>
      </c>
      <c r="C136" s="2">
        <f>IF(B136="", "", "missing: not provided")</f>
        <v>0</v>
      </c>
      <c r="D136" s="1">
        <f>IF(B136="", "", "weeks")</f>
        <v>0</v>
      </c>
      <c r="E136" s="1">
        <f>IF(B136="", "", "urban biome")</f>
        <v>0</v>
      </c>
      <c r="F136" s="1">
        <f>IF(B136="", "", "animal-associated habitat")</f>
        <v>0</v>
      </c>
      <c r="G136" s="1">
        <f>IF(B136="", "", "mouse")</f>
        <v>0</v>
      </c>
      <c r="H136" s="1">
        <f>IF(B136="", "", "Mus musculus")</f>
        <v>0</v>
      </c>
      <c r="I136" s="1">
        <f>IF(B136="", "", "10090")</f>
        <v>0</v>
      </c>
      <c r="J136" s="2">
        <f>IF(B136="", "", "missing: not provided")</f>
        <v>0</v>
      </c>
      <c r="K136" s="1">
        <f>IF(B136="", "", "g")</f>
        <v>0</v>
      </c>
    </row>
    <row r="137" spans="1:11">
      <c r="A137">
        <f>IF(COUNTBLANK(B137:K137)&lt;&gt;COLUMNS(B137:K137),136,"")</f>
        <v>0</v>
      </c>
      <c r="C137" s="2">
        <f>IF(B137="", "", "missing: not provided")</f>
        <v>0</v>
      </c>
      <c r="D137" s="1">
        <f>IF(B137="", "", "weeks")</f>
        <v>0</v>
      </c>
      <c r="E137" s="1">
        <f>IF(B137="", "", "urban biome")</f>
        <v>0</v>
      </c>
      <c r="F137" s="1">
        <f>IF(B137="", "", "animal-associated habitat")</f>
        <v>0</v>
      </c>
      <c r="G137" s="1">
        <f>IF(B137="", "", "mouse")</f>
        <v>0</v>
      </c>
      <c r="H137" s="1">
        <f>IF(B137="", "", "Mus musculus")</f>
        <v>0</v>
      </c>
      <c r="I137" s="1">
        <f>IF(B137="", "", "10090")</f>
        <v>0</v>
      </c>
      <c r="J137" s="2">
        <f>IF(B137="", "", "missing: not provided")</f>
        <v>0</v>
      </c>
      <c r="K137" s="1">
        <f>IF(B137="", "", "g")</f>
        <v>0</v>
      </c>
    </row>
    <row r="138" spans="1:11">
      <c r="A138">
        <f>IF(COUNTBLANK(B138:K138)&lt;&gt;COLUMNS(B138:K138),137,"")</f>
        <v>0</v>
      </c>
      <c r="C138" s="2">
        <f>IF(B138="", "", "missing: not provided")</f>
        <v>0</v>
      </c>
      <c r="D138" s="1">
        <f>IF(B138="", "", "weeks")</f>
        <v>0</v>
      </c>
      <c r="E138" s="1">
        <f>IF(B138="", "", "urban biome")</f>
        <v>0</v>
      </c>
      <c r="F138" s="1">
        <f>IF(B138="", "", "animal-associated habitat")</f>
        <v>0</v>
      </c>
      <c r="G138" s="1">
        <f>IF(B138="", "", "mouse")</f>
        <v>0</v>
      </c>
      <c r="H138" s="1">
        <f>IF(B138="", "", "Mus musculus")</f>
        <v>0</v>
      </c>
      <c r="I138" s="1">
        <f>IF(B138="", "", "10090")</f>
        <v>0</v>
      </c>
      <c r="J138" s="2">
        <f>IF(B138="", "", "missing: not provided")</f>
        <v>0</v>
      </c>
      <c r="K138" s="1">
        <f>IF(B138="", "", "g")</f>
        <v>0</v>
      </c>
    </row>
    <row r="139" spans="1:11">
      <c r="A139">
        <f>IF(COUNTBLANK(B139:K139)&lt;&gt;COLUMNS(B139:K139),138,"")</f>
        <v>0</v>
      </c>
      <c r="C139" s="2">
        <f>IF(B139="", "", "missing: not provided")</f>
        <v>0</v>
      </c>
      <c r="D139" s="1">
        <f>IF(B139="", "", "weeks")</f>
        <v>0</v>
      </c>
      <c r="E139" s="1">
        <f>IF(B139="", "", "urban biome")</f>
        <v>0</v>
      </c>
      <c r="F139" s="1">
        <f>IF(B139="", "", "animal-associated habitat")</f>
        <v>0</v>
      </c>
      <c r="G139" s="1">
        <f>IF(B139="", "", "mouse")</f>
        <v>0</v>
      </c>
      <c r="H139" s="1">
        <f>IF(B139="", "", "Mus musculus")</f>
        <v>0</v>
      </c>
      <c r="I139" s="1">
        <f>IF(B139="", "", "10090")</f>
        <v>0</v>
      </c>
      <c r="J139" s="2">
        <f>IF(B139="", "", "missing: not provided")</f>
        <v>0</v>
      </c>
      <c r="K139" s="1">
        <f>IF(B139="", "", "g")</f>
        <v>0</v>
      </c>
    </row>
    <row r="140" spans="1:11">
      <c r="A140">
        <f>IF(COUNTBLANK(B140:K140)&lt;&gt;COLUMNS(B140:K140),139,"")</f>
        <v>0</v>
      </c>
      <c r="C140" s="2">
        <f>IF(B140="", "", "missing: not provided")</f>
        <v>0</v>
      </c>
      <c r="D140" s="1">
        <f>IF(B140="", "", "weeks")</f>
        <v>0</v>
      </c>
      <c r="E140" s="1">
        <f>IF(B140="", "", "urban biome")</f>
        <v>0</v>
      </c>
      <c r="F140" s="1">
        <f>IF(B140="", "", "animal-associated habitat")</f>
        <v>0</v>
      </c>
      <c r="G140" s="1">
        <f>IF(B140="", "", "mouse")</f>
        <v>0</v>
      </c>
      <c r="H140" s="1">
        <f>IF(B140="", "", "Mus musculus")</f>
        <v>0</v>
      </c>
      <c r="I140" s="1">
        <f>IF(B140="", "", "10090")</f>
        <v>0</v>
      </c>
      <c r="J140" s="2">
        <f>IF(B140="", "", "missing: not provided")</f>
        <v>0</v>
      </c>
      <c r="K140" s="1">
        <f>IF(B140="", "", "g")</f>
        <v>0</v>
      </c>
    </row>
    <row r="141" spans="1:11">
      <c r="A141">
        <f>IF(COUNTBLANK(B141:K141)&lt;&gt;COLUMNS(B141:K141),140,"")</f>
        <v>0</v>
      </c>
      <c r="C141" s="2">
        <f>IF(B141="", "", "missing: not provided")</f>
        <v>0</v>
      </c>
      <c r="D141" s="1">
        <f>IF(B141="", "", "weeks")</f>
        <v>0</v>
      </c>
      <c r="E141" s="1">
        <f>IF(B141="", "", "urban biome")</f>
        <v>0</v>
      </c>
      <c r="F141" s="1">
        <f>IF(B141="", "", "animal-associated habitat")</f>
        <v>0</v>
      </c>
      <c r="G141" s="1">
        <f>IF(B141="", "", "mouse")</f>
        <v>0</v>
      </c>
      <c r="H141" s="1">
        <f>IF(B141="", "", "Mus musculus")</f>
        <v>0</v>
      </c>
      <c r="I141" s="1">
        <f>IF(B141="", "", "10090")</f>
        <v>0</v>
      </c>
      <c r="J141" s="2">
        <f>IF(B141="", "", "missing: not provided")</f>
        <v>0</v>
      </c>
      <c r="K141" s="1">
        <f>IF(B141="", "", "g")</f>
        <v>0</v>
      </c>
    </row>
    <row r="142" spans="1:11">
      <c r="A142">
        <f>IF(COUNTBLANK(B142:K142)&lt;&gt;COLUMNS(B142:K142),141,"")</f>
        <v>0</v>
      </c>
      <c r="C142" s="2">
        <f>IF(B142="", "", "missing: not provided")</f>
        <v>0</v>
      </c>
      <c r="D142" s="1">
        <f>IF(B142="", "", "weeks")</f>
        <v>0</v>
      </c>
      <c r="E142" s="1">
        <f>IF(B142="", "", "urban biome")</f>
        <v>0</v>
      </c>
      <c r="F142" s="1">
        <f>IF(B142="", "", "animal-associated habitat")</f>
        <v>0</v>
      </c>
      <c r="G142" s="1">
        <f>IF(B142="", "", "mouse")</f>
        <v>0</v>
      </c>
      <c r="H142" s="1">
        <f>IF(B142="", "", "Mus musculus")</f>
        <v>0</v>
      </c>
      <c r="I142" s="1">
        <f>IF(B142="", "", "10090")</f>
        <v>0</v>
      </c>
      <c r="J142" s="2">
        <f>IF(B142="", "", "missing: not provided")</f>
        <v>0</v>
      </c>
      <c r="K142" s="1">
        <f>IF(B142="", "", "g")</f>
        <v>0</v>
      </c>
    </row>
    <row r="143" spans="1:11">
      <c r="A143">
        <f>IF(COUNTBLANK(B143:K143)&lt;&gt;COLUMNS(B143:K143),142,"")</f>
        <v>0</v>
      </c>
      <c r="C143" s="2">
        <f>IF(B143="", "", "missing: not provided")</f>
        <v>0</v>
      </c>
      <c r="D143" s="1">
        <f>IF(B143="", "", "weeks")</f>
        <v>0</v>
      </c>
      <c r="E143" s="1">
        <f>IF(B143="", "", "urban biome")</f>
        <v>0</v>
      </c>
      <c r="F143" s="1">
        <f>IF(B143="", "", "animal-associated habitat")</f>
        <v>0</v>
      </c>
      <c r="G143" s="1">
        <f>IF(B143="", "", "mouse")</f>
        <v>0</v>
      </c>
      <c r="H143" s="1">
        <f>IF(B143="", "", "Mus musculus")</f>
        <v>0</v>
      </c>
      <c r="I143" s="1">
        <f>IF(B143="", "", "10090")</f>
        <v>0</v>
      </c>
      <c r="J143" s="2">
        <f>IF(B143="", "", "missing: not provided")</f>
        <v>0</v>
      </c>
      <c r="K143" s="1">
        <f>IF(B143="", "", "g")</f>
        <v>0</v>
      </c>
    </row>
    <row r="144" spans="1:11">
      <c r="A144">
        <f>IF(COUNTBLANK(B144:K144)&lt;&gt;COLUMNS(B144:K144),143,"")</f>
        <v>0</v>
      </c>
      <c r="C144" s="2">
        <f>IF(B144="", "", "missing: not provided")</f>
        <v>0</v>
      </c>
      <c r="D144" s="1">
        <f>IF(B144="", "", "weeks")</f>
        <v>0</v>
      </c>
      <c r="E144" s="1">
        <f>IF(B144="", "", "urban biome")</f>
        <v>0</v>
      </c>
      <c r="F144" s="1">
        <f>IF(B144="", "", "animal-associated habitat")</f>
        <v>0</v>
      </c>
      <c r="G144" s="1">
        <f>IF(B144="", "", "mouse")</f>
        <v>0</v>
      </c>
      <c r="H144" s="1">
        <f>IF(B144="", "", "Mus musculus")</f>
        <v>0</v>
      </c>
      <c r="I144" s="1">
        <f>IF(B144="", "", "10090")</f>
        <v>0</v>
      </c>
      <c r="J144" s="2">
        <f>IF(B144="", "", "missing: not provided")</f>
        <v>0</v>
      </c>
      <c r="K144" s="1">
        <f>IF(B144="", "", "g")</f>
        <v>0</v>
      </c>
    </row>
    <row r="145" spans="1:11">
      <c r="A145">
        <f>IF(COUNTBLANK(B145:K145)&lt;&gt;COLUMNS(B145:K145),144,"")</f>
        <v>0</v>
      </c>
      <c r="C145" s="2">
        <f>IF(B145="", "", "missing: not provided")</f>
        <v>0</v>
      </c>
      <c r="D145" s="1">
        <f>IF(B145="", "", "weeks")</f>
        <v>0</v>
      </c>
      <c r="E145" s="1">
        <f>IF(B145="", "", "urban biome")</f>
        <v>0</v>
      </c>
      <c r="F145" s="1">
        <f>IF(B145="", "", "animal-associated habitat")</f>
        <v>0</v>
      </c>
      <c r="G145" s="1">
        <f>IF(B145="", "", "mouse")</f>
        <v>0</v>
      </c>
      <c r="H145" s="1">
        <f>IF(B145="", "", "Mus musculus")</f>
        <v>0</v>
      </c>
      <c r="I145" s="1">
        <f>IF(B145="", "", "10090")</f>
        <v>0</v>
      </c>
      <c r="J145" s="2">
        <f>IF(B145="", "", "missing: not provided")</f>
        <v>0</v>
      </c>
      <c r="K145" s="1">
        <f>IF(B145="", "", "g")</f>
        <v>0</v>
      </c>
    </row>
    <row r="146" spans="1:11">
      <c r="A146">
        <f>IF(COUNTBLANK(B146:K146)&lt;&gt;COLUMNS(B146:K146),145,"")</f>
        <v>0</v>
      </c>
      <c r="C146" s="2">
        <f>IF(B146="", "", "missing: not provided")</f>
        <v>0</v>
      </c>
      <c r="D146" s="1">
        <f>IF(B146="", "", "weeks")</f>
        <v>0</v>
      </c>
      <c r="E146" s="1">
        <f>IF(B146="", "", "urban biome")</f>
        <v>0</v>
      </c>
      <c r="F146" s="1">
        <f>IF(B146="", "", "animal-associated habitat")</f>
        <v>0</v>
      </c>
      <c r="G146" s="1">
        <f>IF(B146="", "", "mouse")</f>
        <v>0</v>
      </c>
      <c r="H146" s="1">
        <f>IF(B146="", "", "Mus musculus")</f>
        <v>0</v>
      </c>
      <c r="I146" s="1">
        <f>IF(B146="", "", "10090")</f>
        <v>0</v>
      </c>
      <c r="J146" s="2">
        <f>IF(B146="", "", "missing: not provided")</f>
        <v>0</v>
      </c>
      <c r="K146" s="1">
        <f>IF(B146="", "", "g")</f>
        <v>0</v>
      </c>
    </row>
    <row r="147" spans="1:11">
      <c r="A147">
        <f>IF(COUNTBLANK(B147:K147)&lt;&gt;COLUMNS(B147:K147),146,"")</f>
        <v>0</v>
      </c>
      <c r="C147" s="2">
        <f>IF(B147="", "", "missing: not provided")</f>
        <v>0</v>
      </c>
      <c r="D147" s="1">
        <f>IF(B147="", "", "weeks")</f>
        <v>0</v>
      </c>
      <c r="E147" s="1">
        <f>IF(B147="", "", "urban biome")</f>
        <v>0</v>
      </c>
      <c r="F147" s="1">
        <f>IF(B147="", "", "animal-associated habitat")</f>
        <v>0</v>
      </c>
      <c r="G147" s="1">
        <f>IF(B147="", "", "mouse")</f>
        <v>0</v>
      </c>
      <c r="H147" s="1">
        <f>IF(B147="", "", "Mus musculus")</f>
        <v>0</v>
      </c>
      <c r="I147" s="1">
        <f>IF(B147="", "", "10090")</f>
        <v>0</v>
      </c>
      <c r="J147" s="2">
        <f>IF(B147="", "", "missing: not provided")</f>
        <v>0</v>
      </c>
      <c r="K147" s="1">
        <f>IF(B147="", "", "g")</f>
        <v>0</v>
      </c>
    </row>
    <row r="148" spans="1:11">
      <c r="A148">
        <f>IF(COUNTBLANK(B148:K148)&lt;&gt;COLUMNS(B148:K148),147,"")</f>
        <v>0</v>
      </c>
      <c r="C148" s="2">
        <f>IF(B148="", "", "missing: not provided")</f>
        <v>0</v>
      </c>
      <c r="D148" s="1">
        <f>IF(B148="", "", "weeks")</f>
        <v>0</v>
      </c>
      <c r="E148" s="1">
        <f>IF(B148="", "", "urban biome")</f>
        <v>0</v>
      </c>
      <c r="F148" s="1">
        <f>IF(B148="", "", "animal-associated habitat")</f>
        <v>0</v>
      </c>
      <c r="G148" s="1">
        <f>IF(B148="", "", "mouse")</f>
        <v>0</v>
      </c>
      <c r="H148" s="1">
        <f>IF(B148="", "", "Mus musculus")</f>
        <v>0</v>
      </c>
      <c r="I148" s="1">
        <f>IF(B148="", "", "10090")</f>
        <v>0</v>
      </c>
      <c r="J148" s="2">
        <f>IF(B148="", "", "missing: not provided")</f>
        <v>0</v>
      </c>
      <c r="K148" s="1">
        <f>IF(B148="", "", "g")</f>
        <v>0</v>
      </c>
    </row>
    <row r="149" spans="1:11">
      <c r="A149">
        <f>IF(COUNTBLANK(B149:K149)&lt;&gt;COLUMNS(B149:K149),148,"")</f>
        <v>0</v>
      </c>
      <c r="C149" s="2">
        <f>IF(B149="", "", "missing: not provided")</f>
        <v>0</v>
      </c>
      <c r="D149" s="1">
        <f>IF(B149="", "", "weeks")</f>
        <v>0</v>
      </c>
      <c r="E149" s="1">
        <f>IF(B149="", "", "urban biome")</f>
        <v>0</v>
      </c>
      <c r="F149" s="1">
        <f>IF(B149="", "", "animal-associated habitat")</f>
        <v>0</v>
      </c>
      <c r="G149" s="1">
        <f>IF(B149="", "", "mouse")</f>
        <v>0</v>
      </c>
      <c r="H149" s="1">
        <f>IF(B149="", "", "Mus musculus")</f>
        <v>0</v>
      </c>
      <c r="I149" s="1">
        <f>IF(B149="", "", "10090")</f>
        <v>0</v>
      </c>
      <c r="J149" s="2">
        <f>IF(B149="", "", "missing: not provided")</f>
        <v>0</v>
      </c>
      <c r="K149" s="1">
        <f>IF(B149="", "", "g")</f>
        <v>0</v>
      </c>
    </row>
    <row r="150" spans="1:11">
      <c r="A150">
        <f>IF(COUNTBLANK(B150:K150)&lt;&gt;COLUMNS(B150:K150),149,"")</f>
        <v>0</v>
      </c>
      <c r="C150" s="2">
        <f>IF(B150="", "", "missing: not provided")</f>
        <v>0</v>
      </c>
      <c r="D150" s="1">
        <f>IF(B150="", "", "weeks")</f>
        <v>0</v>
      </c>
      <c r="E150" s="1">
        <f>IF(B150="", "", "urban biome")</f>
        <v>0</v>
      </c>
      <c r="F150" s="1">
        <f>IF(B150="", "", "animal-associated habitat")</f>
        <v>0</v>
      </c>
      <c r="G150" s="1">
        <f>IF(B150="", "", "mouse")</f>
        <v>0</v>
      </c>
      <c r="H150" s="1">
        <f>IF(B150="", "", "Mus musculus")</f>
        <v>0</v>
      </c>
      <c r="I150" s="1">
        <f>IF(B150="", "", "10090")</f>
        <v>0</v>
      </c>
      <c r="J150" s="2">
        <f>IF(B150="", "", "missing: not provided")</f>
        <v>0</v>
      </c>
      <c r="K150" s="1">
        <f>IF(B150="", "", "g")</f>
        <v>0</v>
      </c>
    </row>
    <row r="151" spans="1:11">
      <c r="A151">
        <f>IF(COUNTBLANK(B151:K151)&lt;&gt;COLUMNS(B151:K151),150,"")</f>
        <v>0</v>
      </c>
      <c r="C151" s="2">
        <f>IF(B151="", "", "missing: not provided")</f>
        <v>0</v>
      </c>
      <c r="D151" s="1">
        <f>IF(B151="", "", "weeks")</f>
        <v>0</v>
      </c>
      <c r="E151" s="1">
        <f>IF(B151="", "", "urban biome")</f>
        <v>0</v>
      </c>
      <c r="F151" s="1">
        <f>IF(B151="", "", "animal-associated habitat")</f>
        <v>0</v>
      </c>
      <c r="G151" s="1">
        <f>IF(B151="", "", "mouse")</f>
        <v>0</v>
      </c>
      <c r="H151" s="1">
        <f>IF(B151="", "", "Mus musculus")</f>
        <v>0</v>
      </c>
      <c r="I151" s="1">
        <f>IF(B151="", "", "10090")</f>
        <v>0</v>
      </c>
      <c r="J151" s="2">
        <f>IF(B151="", "", "missing: not provided")</f>
        <v>0</v>
      </c>
      <c r="K151" s="1">
        <f>IF(B151="", "", "g")</f>
        <v>0</v>
      </c>
    </row>
    <row r="152" spans="1:11">
      <c r="A152">
        <f>IF(COUNTBLANK(B152:K152)&lt;&gt;COLUMNS(B152:K152),151,"")</f>
        <v>0</v>
      </c>
      <c r="C152" s="2">
        <f>IF(B152="", "", "missing: not provided")</f>
        <v>0</v>
      </c>
      <c r="D152" s="1">
        <f>IF(B152="", "", "weeks")</f>
        <v>0</v>
      </c>
      <c r="E152" s="1">
        <f>IF(B152="", "", "urban biome")</f>
        <v>0</v>
      </c>
      <c r="F152" s="1">
        <f>IF(B152="", "", "animal-associated habitat")</f>
        <v>0</v>
      </c>
      <c r="G152" s="1">
        <f>IF(B152="", "", "mouse")</f>
        <v>0</v>
      </c>
      <c r="H152" s="1">
        <f>IF(B152="", "", "Mus musculus")</f>
        <v>0</v>
      </c>
      <c r="I152" s="1">
        <f>IF(B152="", "", "10090")</f>
        <v>0</v>
      </c>
      <c r="J152" s="2">
        <f>IF(B152="", "", "missing: not provided")</f>
        <v>0</v>
      </c>
      <c r="K152" s="1">
        <f>IF(B152="", "", "g")</f>
        <v>0</v>
      </c>
    </row>
    <row r="153" spans="1:11">
      <c r="A153">
        <f>IF(COUNTBLANK(B153:K153)&lt;&gt;COLUMNS(B153:K153),152,"")</f>
        <v>0</v>
      </c>
      <c r="C153" s="2">
        <f>IF(B153="", "", "missing: not provided")</f>
        <v>0</v>
      </c>
      <c r="D153" s="1">
        <f>IF(B153="", "", "weeks")</f>
        <v>0</v>
      </c>
      <c r="E153" s="1">
        <f>IF(B153="", "", "urban biome")</f>
        <v>0</v>
      </c>
      <c r="F153" s="1">
        <f>IF(B153="", "", "animal-associated habitat")</f>
        <v>0</v>
      </c>
      <c r="G153" s="1">
        <f>IF(B153="", "", "mouse")</f>
        <v>0</v>
      </c>
      <c r="H153" s="1">
        <f>IF(B153="", "", "Mus musculus")</f>
        <v>0</v>
      </c>
      <c r="I153" s="1">
        <f>IF(B153="", "", "10090")</f>
        <v>0</v>
      </c>
      <c r="J153" s="2">
        <f>IF(B153="", "", "missing: not provided")</f>
        <v>0</v>
      </c>
      <c r="K153" s="1">
        <f>IF(B153="", "", "g")</f>
        <v>0</v>
      </c>
    </row>
    <row r="154" spans="1:11">
      <c r="A154">
        <f>IF(COUNTBLANK(B154:K154)&lt;&gt;COLUMNS(B154:K154),153,"")</f>
        <v>0</v>
      </c>
      <c r="C154" s="2">
        <f>IF(B154="", "", "missing: not provided")</f>
        <v>0</v>
      </c>
      <c r="D154" s="1">
        <f>IF(B154="", "", "weeks")</f>
        <v>0</v>
      </c>
      <c r="E154" s="1">
        <f>IF(B154="", "", "urban biome")</f>
        <v>0</v>
      </c>
      <c r="F154" s="1">
        <f>IF(B154="", "", "animal-associated habitat")</f>
        <v>0</v>
      </c>
      <c r="G154" s="1">
        <f>IF(B154="", "", "mouse")</f>
        <v>0</v>
      </c>
      <c r="H154" s="1">
        <f>IF(B154="", "", "Mus musculus")</f>
        <v>0</v>
      </c>
      <c r="I154" s="1">
        <f>IF(B154="", "", "10090")</f>
        <v>0</v>
      </c>
      <c r="J154" s="2">
        <f>IF(B154="", "", "missing: not provided")</f>
        <v>0</v>
      </c>
      <c r="K154" s="1">
        <f>IF(B154="", "", "g")</f>
        <v>0</v>
      </c>
    </row>
    <row r="155" spans="1:11">
      <c r="A155">
        <f>IF(COUNTBLANK(B155:K155)&lt;&gt;COLUMNS(B155:K155),154,"")</f>
        <v>0</v>
      </c>
      <c r="C155" s="2">
        <f>IF(B155="", "", "missing: not provided")</f>
        <v>0</v>
      </c>
      <c r="D155" s="1">
        <f>IF(B155="", "", "weeks")</f>
        <v>0</v>
      </c>
      <c r="E155" s="1">
        <f>IF(B155="", "", "urban biome")</f>
        <v>0</v>
      </c>
      <c r="F155" s="1">
        <f>IF(B155="", "", "animal-associated habitat")</f>
        <v>0</v>
      </c>
      <c r="G155" s="1">
        <f>IF(B155="", "", "mouse")</f>
        <v>0</v>
      </c>
      <c r="H155" s="1">
        <f>IF(B155="", "", "Mus musculus")</f>
        <v>0</v>
      </c>
      <c r="I155" s="1">
        <f>IF(B155="", "", "10090")</f>
        <v>0</v>
      </c>
      <c r="J155" s="2">
        <f>IF(B155="", "", "missing: not provided")</f>
        <v>0</v>
      </c>
      <c r="K155" s="1">
        <f>IF(B155="", "", "g")</f>
        <v>0</v>
      </c>
    </row>
    <row r="156" spans="1:11">
      <c r="A156">
        <f>IF(COUNTBLANK(B156:K156)&lt;&gt;COLUMNS(B156:K156),155,"")</f>
        <v>0</v>
      </c>
      <c r="C156" s="2">
        <f>IF(B156="", "", "missing: not provided")</f>
        <v>0</v>
      </c>
      <c r="D156" s="1">
        <f>IF(B156="", "", "weeks")</f>
        <v>0</v>
      </c>
      <c r="E156" s="1">
        <f>IF(B156="", "", "urban biome")</f>
        <v>0</v>
      </c>
      <c r="F156" s="1">
        <f>IF(B156="", "", "animal-associated habitat")</f>
        <v>0</v>
      </c>
      <c r="G156" s="1">
        <f>IF(B156="", "", "mouse")</f>
        <v>0</v>
      </c>
      <c r="H156" s="1">
        <f>IF(B156="", "", "Mus musculus")</f>
        <v>0</v>
      </c>
      <c r="I156" s="1">
        <f>IF(B156="", "", "10090")</f>
        <v>0</v>
      </c>
      <c r="J156" s="2">
        <f>IF(B156="", "", "missing: not provided")</f>
        <v>0</v>
      </c>
      <c r="K156" s="1">
        <f>IF(B156="", "", "g")</f>
        <v>0</v>
      </c>
    </row>
    <row r="157" spans="1:11">
      <c r="A157">
        <f>IF(COUNTBLANK(B157:K157)&lt;&gt;COLUMNS(B157:K157),156,"")</f>
        <v>0</v>
      </c>
      <c r="C157" s="2">
        <f>IF(B157="", "", "missing: not provided")</f>
        <v>0</v>
      </c>
      <c r="D157" s="1">
        <f>IF(B157="", "", "weeks")</f>
        <v>0</v>
      </c>
      <c r="E157" s="1">
        <f>IF(B157="", "", "urban biome")</f>
        <v>0</v>
      </c>
      <c r="F157" s="1">
        <f>IF(B157="", "", "animal-associated habitat")</f>
        <v>0</v>
      </c>
      <c r="G157" s="1">
        <f>IF(B157="", "", "mouse")</f>
        <v>0</v>
      </c>
      <c r="H157" s="1">
        <f>IF(B157="", "", "Mus musculus")</f>
        <v>0</v>
      </c>
      <c r="I157" s="1">
        <f>IF(B157="", "", "10090")</f>
        <v>0</v>
      </c>
      <c r="J157" s="2">
        <f>IF(B157="", "", "missing: not provided")</f>
        <v>0</v>
      </c>
      <c r="K157" s="1">
        <f>IF(B157="", "", "g")</f>
        <v>0</v>
      </c>
    </row>
    <row r="158" spans="1:11">
      <c r="A158">
        <f>IF(COUNTBLANK(B158:K158)&lt;&gt;COLUMNS(B158:K158),157,"")</f>
        <v>0</v>
      </c>
      <c r="C158" s="2">
        <f>IF(B158="", "", "missing: not provided")</f>
        <v>0</v>
      </c>
      <c r="D158" s="1">
        <f>IF(B158="", "", "weeks")</f>
        <v>0</v>
      </c>
      <c r="E158" s="1">
        <f>IF(B158="", "", "urban biome")</f>
        <v>0</v>
      </c>
      <c r="F158" s="1">
        <f>IF(B158="", "", "animal-associated habitat")</f>
        <v>0</v>
      </c>
      <c r="G158" s="1">
        <f>IF(B158="", "", "mouse")</f>
        <v>0</v>
      </c>
      <c r="H158" s="1">
        <f>IF(B158="", "", "Mus musculus")</f>
        <v>0</v>
      </c>
      <c r="I158" s="1">
        <f>IF(B158="", "", "10090")</f>
        <v>0</v>
      </c>
      <c r="J158" s="2">
        <f>IF(B158="", "", "missing: not provided")</f>
        <v>0</v>
      </c>
      <c r="K158" s="1">
        <f>IF(B158="", "", "g")</f>
        <v>0</v>
      </c>
    </row>
    <row r="159" spans="1:11">
      <c r="A159">
        <f>IF(COUNTBLANK(B159:K159)&lt;&gt;COLUMNS(B159:K159),158,"")</f>
        <v>0</v>
      </c>
      <c r="C159" s="2">
        <f>IF(B159="", "", "missing: not provided")</f>
        <v>0</v>
      </c>
      <c r="D159" s="1">
        <f>IF(B159="", "", "weeks")</f>
        <v>0</v>
      </c>
      <c r="E159" s="1">
        <f>IF(B159="", "", "urban biome")</f>
        <v>0</v>
      </c>
      <c r="F159" s="1">
        <f>IF(B159="", "", "animal-associated habitat")</f>
        <v>0</v>
      </c>
      <c r="G159" s="1">
        <f>IF(B159="", "", "mouse")</f>
        <v>0</v>
      </c>
      <c r="H159" s="1">
        <f>IF(B159="", "", "Mus musculus")</f>
        <v>0</v>
      </c>
      <c r="I159" s="1">
        <f>IF(B159="", "", "10090")</f>
        <v>0</v>
      </c>
      <c r="J159" s="2">
        <f>IF(B159="", "", "missing: not provided")</f>
        <v>0</v>
      </c>
      <c r="K159" s="1">
        <f>IF(B159="", "", "g")</f>
        <v>0</v>
      </c>
    </row>
    <row r="160" spans="1:11">
      <c r="A160">
        <f>IF(COUNTBLANK(B160:K160)&lt;&gt;COLUMNS(B160:K160),159,"")</f>
        <v>0</v>
      </c>
      <c r="C160" s="2">
        <f>IF(B160="", "", "missing: not provided")</f>
        <v>0</v>
      </c>
      <c r="D160" s="1">
        <f>IF(B160="", "", "weeks")</f>
        <v>0</v>
      </c>
      <c r="E160" s="1">
        <f>IF(B160="", "", "urban biome")</f>
        <v>0</v>
      </c>
      <c r="F160" s="1">
        <f>IF(B160="", "", "animal-associated habitat")</f>
        <v>0</v>
      </c>
      <c r="G160" s="1">
        <f>IF(B160="", "", "mouse")</f>
        <v>0</v>
      </c>
      <c r="H160" s="1">
        <f>IF(B160="", "", "Mus musculus")</f>
        <v>0</v>
      </c>
      <c r="I160" s="1">
        <f>IF(B160="", "", "10090")</f>
        <v>0</v>
      </c>
      <c r="J160" s="2">
        <f>IF(B160="", "", "missing: not provided")</f>
        <v>0</v>
      </c>
      <c r="K160" s="1">
        <f>IF(B160="", "", "g")</f>
        <v>0</v>
      </c>
    </row>
    <row r="161" spans="1:11">
      <c r="A161">
        <f>IF(COUNTBLANK(B161:K161)&lt;&gt;COLUMNS(B161:K161),160,"")</f>
        <v>0</v>
      </c>
      <c r="C161" s="2">
        <f>IF(B161="", "", "missing: not provided")</f>
        <v>0</v>
      </c>
      <c r="D161" s="1">
        <f>IF(B161="", "", "weeks")</f>
        <v>0</v>
      </c>
      <c r="E161" s="1">
        <f>IF(B161="", "", "urban biome")</f>
        <v>0</v>
      </c>
      <c r="F161" s="1">
        <f>IF(B161="", "", "animal-associated habitat")</f>
        <v>0</v>
      </c>
      <c r="G161" s="1">
        <f>IF(B161="", "", "mouse")</f>
        <v>0</v>
      </c>
      <c r="H161" s="1">
        <f>IF(B161="", "", "Mus musculus")</f>
        <v>0</v>
      </c>
      <c r="I161" s="1">
        <f>IF(B161="", "", "10090")</f>
        <v>0</v>
      </c>
      <c r="J161" s="2">
        <f>IF(B161="", "", "missing: not provided")</f>
        <v>0</v>
      </c>
      <c r="K161" s="1">
        <f>IF(B161="", "", "g")</f>
        <v>0</v>
      </c>
    </row>
    <row r="162" spans="1:11">
      <c r="A162">
        <f>IF(COUNTBLANK(B162:K162)&lt;&gt;COLUMNS(B162:K162),161,"")</f>
        <v>0</v>
      </c>
      <c r="C162" s="2">
        <f>IF(B162="", "", "missing: not provided")</f>
        <v>0</v>
      </c>
      <c r="D162" s="1">
        <f>IF(B162="", "", "weeks")</f>
        <v>0</v>
      </c>
      <c r="E162" s="1">
        <f>IF(B162="", "", "urban biome")</f>
        <v>0</v>
      </c>
      <c r="F162" s="1">
        <f>IF(B162="", "", "animal-associated habitat")</f>
        <v>0</v>
      </c>
      <c r="G162" s="1">
        <f>IF(B162="", "", "mouse")</f>
        <v>0</v>
      </c>
      <c r="H162" s="1">
        <f>IF(B162="", "", "Mus musculus")</f>
        <v>0</v>
      </c>
      <c r="I162" s="1">
        <f>IF(B162="", "", "10090")</f>
        <v>0</v>
      </c>
      <c r="J162" s="2">
        <f>IF(B162="", "", "missing: not provided")</f>
        <v>0</v>
      </c>
      <c r="K162" s="1">
        <f>IF(B162="", "", "g")</f>
        <v>0</v>
      </c>
    </row>
    <row r="163" spans="1:11">
      <c r="A163">
        <f>IF(COUNTBLANK(B163:K163)&lt;&gt;COLUMNS(B163:K163),162,"")</f>
        <v>0</v>
      </c>
      <c r="C163" s="2">
        <f>IF(B163="", "", "missing: not provided")</f>
        <v>0</v>
      </c>
      <c r="D163" s="1">
        <f>IF(B163="", "", "weeks")</f>
        <v>0</v>
      </c>
      <c r="E163" s="1">
        <f>IF(B163="", "", "urban biome")</f>
        <v>0</v>
      </c>
      <c r="F163" s="1">
        <f>IF(B163="", "", "animal-associated habitat")</f>
        <v>0</v>
      </c>
      <c r="G163" s="1">
        <f>IF(B163="", "", "mouse")</f>
        <v>0</v>
      </c>
      <c r="H163" s="1">
        <f>IF(B163="", "", "Mus musculus")</f>
        <v>0</v>
      </c>
      <c r="I163" s="1">
        <f>IF(B163="", "", "10090")</f>
        <v>0</v>
      </c>
      <c r="J163" s="2">
        <f>IF(B163="", "", "missing: not provided")</f>
        <v>0</v>
      </c>
      <c r="K163" s="1">
        <f>IF(B163="", "", "g")</f>
        <v>0</v>
      </c>
    </row>
    <row r="164" spans="1:11">
      <c r="A164">
        <f>IF(COUNTBLANK(B164:K164)&lt;&gt;COLUMNS(B164:K164),163,"")</f>
        <v>0</v>
      </c>
      <c r="C164" s="2">
        <f>IF(B164="", "", "missing: not provided")</f>
        <v>0</v>
      </c>
      <c r="D164" s="1">
        <f>IF(B164="", "", "weeks")</f>
        <v>0</v>
      </c>
      <c r="E164" s="1">
        <f>IF(B164="", "", "urban biome")</f>
        <v>0</v>
      </c>
      <c r="F164" s="1">
        <f>IF(B164="", "", "animal-associated habitat")</f>
        <v>0</v>
      </c>
      <c r="G164" s="1">
        <f>IF(B164="", "", "mouse")</f>
        <v>0</v>
      </c>
      <c r="H164" s="1">
        <f>IF(B164="", "", "Mus musculus")</f>
        <v>0</v>
      </c>
      <c r="I164" s="1">
        <f>IF(B164="", "", "10090")</f>
        <v>0</v>
      </c>
      <c r="J164" s="2">
        <f>IF(B164="", "", "missing: not provided")</f>
        <v>0</v>
      </c>
      <c r="K164" s="1">
        <f>IF(B164="", "", "g")</f>
        <v>0</v>
      </c>
    </row>
    <row r="165" spans="1:11">
      <c r="A165">
        <f>IF(COUNTBLANK(B165:K165)&lt;&gt;COLUMNS(B165:K165),164,"")</f>
        <v>0</v>
      </c>
      <c r="C165" s="2">
        <f>IF(B165="", "", "missing: not provided")</f>
        <v>0</v>
      </c>
      <c r="D165" s="1">
        <f>IF(B165="", "", "weeks")</f>
        <v>0</v>
      </c>
      <c r="E165" s="1">
        <f>IF(B165="", "", "urban biome")</f>
        <v>0</v>
      </c>
      <c r="F165" s="1">
        <f>IF(B165="", "", "animal-associated habitat")</f>
        <v>0</v>
      </c>
      <c r="G165" s="1">
        <f>IF(B165="", "", "mouse")</f>
        <v>0</v>
      </c>
      <c r="H165" s="1">
        <f>IF(B165="", "", "Mus musculus")</f>
        <v>0</v>
      </c>
      <c r="I165" s="1">
        <f>IF(B165="", "", "10090")</f>
        <v>0</v>
      </c>
      <c r="J165" s="2">
        <f>IF(B165="", "", "missing: not provided")</f>
        <v>0</v>
      </c>
      <c r="K165" s="1">
        <f>IF(B165="", "", "g")</f>
        <v>0</v>
      </c>
    </row>
    <row r="166" spans="1:11">
      <c r="A166">
        <f>IF(COUNTBLANK(B166:K166)&lt;&gt;COLUMNS(B166:K166),165,"")</f>
        <v>0</v>
      </c>
      <c r="C166" s="2">
        <f>IF(B166="", "", "missing: not provided")</f>
        <v>0</v>
      </c>
      <c r="D166" s="1">
        <f>IF(B166="", "", "weeks")</f>
        <v>0</v>
      </c>
      <c r="E166" s="1">
        <f>IF(B166="", "", "urban biome")</f>
        <v>0</v>
      </c>
      <c r="F166" s="1">
        <f>IF(B166="", "", "animal-associated habitat")</f>
        <v>0</v>
      </c>
      <c r="G166" s="1">
        <f>IF(B166="", "", "mouse")</f>
        <v>0</v>
      </c>
      <c r="H166" s="1">
        <f>IF(B166="", "", "Mus musculus")</f>
        <v>0</v>
      </c>
      <c r="I166" s="1">
        <f>IF(B166="", "", "10090")</f>
        <v>0</v>
      </c>
      <c r="J166" s="2">
        <f>IF(B166="", "", "missing: not provided")</f>
        <v>0</v>
      </c>
      <c r="K166" s="1">
        <f>IF(B166="", "", "g")</f>
        <v>0</v>
      </c>
    </row>
    <row r="167" spans="1:11">
      <c r="A167">
        <f>IF(COUNTBLANK(B167:K167)&lt;&gt;COLUMNS(B167:K167),166,"")</f>
        <v>0</v>
      </c>
      <c r="C167" s="2">
        <f>IF(B167="", "", "missing: not provided")</f>
        <v>0</v>
      </c>
      <c r="D167" s="1">
        <f>IF(B167="", "", "weeks")</f>
        <v>0</v>
      </c>
      <c r="E167" s="1">
        <f>IF(B167="", "", "urban biome")</f>
        <v>0</v>
      </c>
      <c r="F167" s="1">
        <f>IF(B167="", "", "animal-associated habitat")</f>
        <v>0</v>
      </c>
      <c r="G167" s="1">
        <f>IF(B167="", "", "mouse")</f>
        <v>0</v>
      </c>
      <c r="H167" s="1">
        <f>IF(B167="", "", "Mus musculus")</f>
        <v>0</v>
      </c>
      <c r="I167" s="1">
        <f>IF(B167="", "", "10090")</f>
        <v>0</v>
      </c>
      <c r="J167" s="2">
        <f>IF(B167="", "", "missing: not provided")</f>
        <v>0</v>
      </c>
      <c r="K167" s="1">
        <f>IF(B167="", "", "g")</f>
        <v>0</v>
      </c>
    </row>
    <row r="168" spans="1:11">
      <c r="A168">
        <f>IF(COUNTBLANK(B168:K168)&lt;&gt;COLUMNS(B168:K168),167,"")</f>
        <v>0</v>
      </c>
      <c r="C168" s="2">
        <f>IF(B168="", "", "missing: not provided")</f>
        <v>0</v>
      </c>
      <c r="D168" s="1">
        <f>IF(B168="", "", "weeks")</f>
        <v>0</v>
      </c>
      <c r="E168" s="1">
        <f>IF(B168="", "", "urban biome")</f>
        <v>0</v>
      </c>
      <c r="F168" s="1">
        <f>IF(B168="", "", "animal-associated habitat")</f>
        <v>0</v>
      </c>
      <c r="G168" s="1">
        <f>IF(B168="", "", "mouse")</f>
        <v>0</v>
      </c>
      <c r="H168" s="1">
        <f>IF(B168="", "", "Mus musculus")</f>
        <v>0</v>
      </c>
      <c r="I168" s="1">
        <f>IF(B168="", "", "10090")</f>
        <v>0</v>
      </c>
      <c r="J168" s="2">
        <f>IF(B168="", "", "missing: not provided")</f>
        <v>0</v>
      </c>
      <c r="K168" s="1">
        <f>IF(B168="", "", "g")</f>
        <v>0</v>
      </c>
    </row>
    <row r="169" spans="1:11">
      <c r="A169">
        <f>IF(COUNTBLANK(B169:K169)&lt;&gt;COLUMNS(B169:K169),168,"")</f>
        <v>0</v>
      </c>
      <c r="C169" s="2">
        <f>IF(B169="", "", "missing: not provided")</f>
        <v>0</v>
      </c>
      <c r="D169" s="1">
        <f>IF(B169="", "", "weeks")</f>
        <v>0</v>
      </c>
      <c r="E169" s="1">
        <f>IF(B169="", "", "urban biome")</f>
        <v>0</v>
      </c>
      <c r="F169" s="1">
        <f>IF(B169="", "", "animal-associated habitat")</f>
        <v>0</v>
      </c>
      <c r="G169" s="1">
        <f>IF(B169="", "", "mouse")</f>
        <v>0</v>
      </c>
      <c r="H169" s="1">
        <f>IF(B169="", "", "Mus musculus")</f>
        <v>0</v>
      </c>
      <c r="I169" s="1">
        <f>IF(B169="", "", "10090")</f>
        <v>0</v>
      </c>
      <c r="J169" s="2">
        <f>IF(B169="", "", "missing: not provided")</f>
        <v>0</v>
      </c>
      <c r="K169" s="1">
        <f>IF(B169="", "", "g")</f>
        <v>0</v>
      </c>
    </row>
    <row r="170" spans="1:11">
      <c r="A170">
        <f>IF(COUNTBLANK(B170:K170)&lt;&gt;COLUMNS(B170:K170),169,"")</f>
        <v>0</v>
      </c>
      <c r="C170" s="2">
        <f>IF(B170="", "", "missing: not provided")</f>
        <v>0</v>
      </c>
      <c r="D170" s="1">
        <f>IF(B170="", "", "weeks")</f>
        <v>0</v>
      </c>
      <c r="E170" s="1">
        <f>IF(B170="", "", "urban biome")</f>
        <v>0</v>
      </c>
      <c r="F170" s="1">
        <f>IF(B170="", "", "animal-associated habitat")</f>
        <v>0</v>
      </c>
      <c r="G170" s="1">
        <f>IF(B170="", "", "mouse")</f>
        <v>0</v>
      </c>
      <c r="H170" s="1">
        <f>IF(B170="", "", "Mus musculus")</f>
        <v>0</v>
      </c>
      <c r="I170" s="1">
        <f>IF(B170="", "", "10090")</f>
        <v>0</v>
      </c>
      <c r="J170" s="2">
        <f>IF(B170="", "", "missing: not provided")</f>
        <v>0</v>
      </c>
      <c r="K170" s="1">
        <f>IF(B170="", "", "g")</f>
        <v>0</v>
      </c>
    </row>
    <row r="171" spans="1:11">
      <c r="A171">
        <f>IF(COUNTBLANK(B171:K171)&lt;&gt;COLUMNS(B171:K171),170,"")</f>
        <v>0</v>
      </c>
      <c r="C171" s="2">
        <f>IF(B171="", "", "missing: not provided")</f>
        <v>0</v>
      </c>
      <c r="D171" s="1">
        <f>IF(B171="", "", "weeks")</f>
        <v>0</v>
      </c>
      <c r="E171" s="1">
        <f>IF(B171="", "", "urban biome")</f>
        <v>0</v>
      </c>
      <c r="F171" s="1">
        <f>IF(B171="", "", "animal-associated habitat")</f>
        <v>0</v>
      </c>
      <c r="G171" s="1">
        <f>IF(B171="", "", "mouse")</f>
        <v>0</v>
      </c>
      <c r="H171" s="1">
        <f>IF(B171="", "", "Mus musculus")</f>
        <v>0</v>
      </c>
      <c r="I171" s="1">
        <f>IF(B171="", "", "10090")</f>
        <v>0</v>
      </c>
      <c r="J171" s="2">
        <f>IF(B171="", "", "missing: not provided")</f>
        <v>0</v>
      </c>
      <c r="K171" s="1">
        <f>IF(B171="", "", "g")</f>
        <v>0</v>
      </c>
    </row>
    <row r="172" spans="1:11">
      <c r="A172">
        <f>IF(COUNTBLANK(B172:K172)&lt;&gt;COLUMNS(B172:K172),171,"")</f>
        <v>0</v>
      </c>
      <c r="C172" s="2">
        <f>IF(B172="", "", "missing: not provided")</f>
        <v>0</v>
      </c>
      <c r="D172" s="1">
        <f>IF(B172="", "", "weeks")</f>
        <v>0</v>
      </c>
      <c r="E172" s="1">
        <f>IF(B172="", "", "urban biome")</f>
        <v>0</v>
      </c>
      <c r="F172" s="1">
        <f>IF(B172="", "", "animal-associated habitat")</f>
        <v>0</v>
      </c>
      <c r="G172" s="1">
        <f>IF(B172="", "", "mouse")</f>
        <v>0</v>
      </c>
      <c r="H172" s="1">
        <f>IF(B172="", "", "Mus musculus")</f>
        <v>0</v>
      </c>
      <c r="I172" s="1">
        <f>IF(B172="", "", "10090")</f>
        <v>0</v>
      </c>
      <c r="J172" s="2">
        <f>IF(B172="", "", "missing: not provided")</f>
        <v>0</v>
      </c>
      <c r="K172" s="1">
        <f>IF(B172="", "", "g")</f>
        <v>0</v>
      </c>
    </row>
    <row r="173" spans="1:11">
      <c r="A173">
        <f>IF(COUNTBLANK(B173:K173)&lt;&gt;COLUMNS(B173:K173),172,"")</f>
        <v>0</v>
      </c>
      <c r="C173" s="2">
        <f>IF(B173="", "", "missing: not provided")</f>
        <v>0</v>
      </c>
      <c r="D173" s="1">
        <f>IF(B173="", "", "weeks")</f>
        <v>0</v>
      </c>
      <c r="E173" s="1">
        <f>IF(B173="", "", "urban biome")</f>
        <v>0</v>
      </c>
      <c r="F173" s="1">
        <f>IF(B173="", "", "animal-associated habitat")</f>
        <v>0</v>
      </c>
      <c r="G173" s="1">
        <f>IF(B173="", "", "mouse")</f>
        <v>0</v>
      </c>
      <c r="H173" s="1">
        <f>IF(B173="", "", "Mus musculus")</f>
        <v>0</v>
      </c>
      <c r="I173" s="1">
        <f>IF(B173="", "", "10090")</f>
        <v>0</v>
      </c>
      <c r="J173" s="2">
        <f>IF(B173="", "", "missing: not provided")</f>
        <v>0</v>
      </c>
      <c r="K173" s="1">
        <f>IF(B173="", "", "g")</f>
        <v>0</v>
      </c>
    </row>
    <row r="174" spans="1:11">
      <c r="A174">
        <f>IF(COUNTBLANK(B174:K174)&lt;&gt;COLUMNS(B174:K174),173,"")</f>
        <v>0</v>
      </c>
      <c r="C174" s="2">
        <f>IF(B174="", "", "missing: not provided")</f>
        <v>0</v>
      </c>
      <c r="D174" s="1">
        <f>IF(B174="", "", "weeks")</f>
        <v>0</v>
      </c>
      <c r="E174" s="1">
        <f>IF(B174="", "", "urban biome")</f>
        <v>0</v>
      </c>
      <c r="F174" s="1">
        <f>IF(B174="", "", "animal-associated habitat")</f>
        <v>0</v>
      </c>
      <c r="G174" s="1">
        <f>IF(B174="", "", "mouse")</f>
        <v>0</v>
      </c>
      <c r="H174" s="1">
        <f>IF(B174="", "", "Mus musculus")</f>
        <v>0</v>
      </c>
      <c r="I174" s="1">
        <f>IF(B174="", "", "10090")</f>
        <v>0</v>
      </c>
      <c r="J174" s="2">
        <f>IF(B174="", "", "missing: not provided")</f>
        <v>0</v>
      </c>
      <c r="K174" s="1">
        <f>IF(B174="", "", "g")</f>
        <v>0</v>
      </c>
    </row>
    <row r="175" spans="1:11">
      <c r="A175">
        <f>IF(COUNTBLANK(B175:K175)&lt;&gt;COLUMNS(B175:K175),174,"")</f>
        <v>0</v>
      </c>
      <c r="C175" s="2">
        <f>IF(B175="", "", "missing: not provided")</f>
        <v>0</v>
      </c>
      <c r="D175" s="1">
        <f>IF(B175="", "", "weeks")</f>
        <v>0</v>
      </c>
      <c r="E175" s="1">
        <f>IF(B175="", "", "urban biome")</f>
        <v>0</v>
      </c>
      <c r="F175" s="1">
        <f>IF(B175="", "", "animal-associated habitat")</f>
        <v>0</v>
      </c>
      <c r="G175" s="1">
        <f>IF(B175="", "", "mouse")</f>
        <v>0</v>
      </c>
      <c r="H175" s="1">
        <f>IF(B175="", "", "Mus musculus")</f>
        <v>0</v>
      </c>
      <c r="I175" s="1">
        <f>IF(B175="", "", "10090")</f>
        <v>0</v>
      </c>
      <c r="J175" s="2">
        <f>IF(B175="", "", "missing: not provided")</f>
        <v>0</v>
      </c>
      <c r="K175" s="1">
        <f>IF(B175="", "", "g")</f>
        <v>0</v>
      </c>
    </row>
    <row r="176" spans="1:11">
      <c r="A176">
        <f>IF(COUNTBLANK(B176:K176)&lt;&gt;COLUMNS(B176:K176),175,"")</f>
        <v>0</v>
      </c>
      <c r="C176" s="2">
        <f>IF(B176="", "", "missing: not provided")</f>
        <v>0</v>
      </c>
      <c r="D176" s="1">
        <f>IF(B176="", "", "weeks")</f>
        <v>0</v>
      </c>
      <c r="E176" s="1">
        <f>IF(B176="", "", "urban biome")</f>
        <v>0</v>
      </c>
      <c r="F176" s="1">
        <f>IF(B176="", "", "animal-associated habitat")</f>
        <v>0</v>
      </c>
      <c r="G176" s="1">
        <f>IF(B176="", "", "mouse")</f>
        <v>0</v>
      </c>
      <c r="H176" s="1">
        <f>IF(B176="", "", "Mus musculus")</f>
        <v>0</v>
      </c>
      <c r="I176" s="1">
        <f>IF(B176="", "", "10090")</f>
        <v>0</v>
      </c>
      <c r="J176" s="2">
        <f>IF(B176="", "", "missing: not provided")</f>
        <v>0</v>
      </c>
      <c r="K176" s="1">
        <f>IF(B176="", "", "g")</f>
        <v>0</v>
      </c>
    </row>
    <row r="177" spans="1:11">
      <c r="A177">
        <f>IF(COUNTBLANK(B177:K177)&lt;&gt;COLUMNS(B177:K177),176,"")</f>
        <v>0</v>
      </c>
      <c r="C177" s="2">
        <f>IF(B177="", "", "missing: not provided")</f>
        <v>0</v>
      </c>
      <c r="D177" s="1">
        <f>IF(B177="", "", "weeks")</f>
        <v>0</v>
      </c>
      <c r="E177" s="1">
        <f>IF(B177="", "", "urban biome")</f>
        <v>0</v>
      </c>
      <c r="F177" s="1">
        <f>IF(B177="", "", "animal-associated habitat")</f>
        <v>0</v>
      </c>
      <c r="G177" s="1">
        <f>IF(B177="", "", "mouse")</f>
        <v>0</v>
      </c>
      <c r="H177" s="1">
        <f>IF(B177="", "", "Mus musculus")</f>
        <v>0</v>
      </c>
      <c r="I177" s="1">
        <f>IF(B177="", "", "10090")</f>
        <v>0</v>
      </c>
      <c r="J177" s="2">
        <f>IF(B177="", "", "missing: not provided")</f>
        <v>0</v>
      </c>
      <c r="K177" s="1">
        <f>IF(B177="", "", "g")</f>
        <v>0</v>
      </c>
    </row>
    <row r="178" spans="1:11">
      <c r="A178">
        <f>IF(COUNTBLANK(B178:K178)&lt;&gt;COLUMNS(B178:K178),177,"")</f>
        <v>0</v>
      </c>
      <c r="C178" s="2">
        <f>IF(B178="", "", "missing: not provided")</f>
        <v>0</v>
      </c>
      <c r="D178" s="1">
        <f>IF(B178="", "", "weeks")</f>
        <v>0</v>
      </c>
      <c r="E178" s="1">
        <f>IF(B178="", "", "urban biome")</f>
        <v>0</v>
      </c>
      <c r="F178" s="1">
        <f>IF(B178="", "", "animal-associated habitat")</f>
        <v>0</v>
      </c>
      <c r="G178" s="1">
        <f>IF(B178="", "", "mouse")</f>
        <v>0</v>
      </c>
      <c r="H178" s="1">
        <f>IF(B178="", "", "Mus musculus")</f>
        <v>0</v>
      </c>
      <c r="I178" s="1">
        <f>IF(B178="", "", "10090")</f>
        <v>0</v>
      </c>
      <c r="J178" s="2">
        <f>IF(B178="", "", "missing: not provided")</f>
        <v>0</v>
      </c>
      <c r="K178" s="1">
        <f>IF(B178="", "", "g")</f>
        <v>0</v>
      </c>
    </row>
    <row r="179" spans="1:11">
      <c r="A179">
        <f>IF(COUNTBLANK(B179:K179)&lt;&gt;COLUMNS(B179:K179),178,"")</f>
        <v>0</v>
      </c>
      <c r="C179" s="2">
        <f>IF(B179="", "", "missing: not provided")</f>
        <v>0</v>
      </c>
      <c r="D179" s="1">
        <f>IF(B179="", "", "weeks")</f>
        <v>0</v>
      </c>
      <c r="E179" s="1">
        <f>IF(B179="", "", "urban biome")</f>
        <v>0</v>
      </c>
      <c r="F179" s="1">
        <f>IF(B179="", "", "animal-associated habitat")</f>
        <v>0</v>
      </c>
      <c r="G179" s="1">
        <f>IF(B179="", "", "mouse")</f>
        <v>0</v>
      </c>
      <c r="H179" s="1">
        <f>IF(B179="", "", "Mus musculus")</f>
        <v>0</v>
      </c>
      <c r="I179" s="1">
        <f>IF(B179="", "", "10090")</f>
        <v>0</v>
      </c>
      <c r="J179" s="2">
        <f>IF(B179="", "", "missing: not provided")</f>
        <v>0</v>
      </c>
      <c r="K179" s="1">
        <f>IF(B179="", "", "g")</f>
        <v>0</v>
      </c>
    </row>
    <row r="180" spans="1:11">
      <c r="A180">
        <f>IF(COUNTBLANK(B180:K180)&lt;&gt;COLUMNS(B180:K180),179,"")</f>
        <v>0</v>
      </c>
      <c r="C180" s="2">
        <f>IF(B180="", "", "missing: not provided")</f>
        <v>0</v>
      </c>
      <c r="D180" s="1">
        <f>IF(B180="", "", "weeks")</f>
        <v>0</v>
      </c>
      <c r="E180" s="1">
        <f>IF(B180="", "", "urban biome")</f>
        <v>0</v>
      </c>
      <c r="F180" s="1">
        <f>IF(B180="", "", "animal-associated habitat")</f>
        <v>0</v>
      </c>
      <c r="G180" s="1">
        <f>IF(B180="", "", "mouse")</f>
        <v>0</v>
      </c>
      <c r="H180" s="1">
        <f>IF(B180="", "", "Mus musculus")</f>
        <v>0</v>
      </c>
      <c r="I180" s="1">
        <f>IF(B180="", "", "10090")</f>
        <v>0</v>
      </c>
      <c r="J180" s="2">
        <f>IF(B180="", "", "missing: not provided")</f>
        <v>0</v>
      </c>
      <c r="K180" s="1">
        <f>IF(B180="", "", "g")</f>
        <v>0</v>
      </c>
    </row>
    <row r="181" spans="1:11">
      <c r="A181">
        <f>IF(COUNTBLANK(B181:K181)&lt;&gt;COLUMNS(B181:K181),180,"")</f>
        <v>0</v>
      </c>
      <c r="C181" s="2">
        <f>IF(B181="", "", "missing: not provided")</f>
        <v>0</v>
      </c>
      <c r="D181" s="1">
        <f>IF(B181="", "", "weeks")</f>
        <v>0</v>
      </c>
      <c r="E181" s="1">
        <f>IF(B181="", "", "urban biome")</f>
        <v>0</v>
      </c>
      <c r="F181" s="1">
        <f>IF(B181="", "", "animal-associated habitat")</f>
        <v>0</v>
      </c>
      <c r="G181" s="1">
        <f>IF(B181="", "", "mouse")</f>
        <v>0</v>
      </c>
      <c r="H181" s="1">
        <f>IF(B181="", "", "Mus musculus")</f>
        <v>0</v>
      </c>
      <c r="I181" s="1">
        <f>IF(B181="", "", "10090")</f>
        <v>0</v>
      </c>
      <c r="J181" s="2">
        <f>IF(B181="", "", "missing: not provided")</f>
        <v>0</v>
      </c>
      <c r="K181" s="1">
        <f>IF(B181="", "", "g")</f>
        <v>0</v>
      </c>
    </row>
    <row r="182" spans="1:11">
      <c r="A182">
        <f>IF(COUNTBLANK(B182:K182)&lt;&gt;COLUMNS(B182:K182),181,"")</f>
        <v>0</v>
      </c>
      <c r="C182" s="2">
        <f>IF(B182="", "", "missing: not provided")</f>
        <v>0</v>
      </c>
      <c r="D182" s="1">
        <f>IF(B182="", "", "weeks")</f>
        <v>0</v>
      </c>
      <c r="E182" s="1">
        <f>IF(B182="", "", "urban biome")</f>
        <v>0</v>
      </c>
      <c r="F182" s="1">
        <f>IF(B182="", "", "animal-associated habitat")</f>
        <v>0</v>
      </c>
      <c r="G182" s="1">
        <f>IF(B182="", "", "mouse")</f>
        <v>0</v>
      </c>
      <c r="H182" s="1">
        <f>IF(B182="", "", "Mus musculus")</f>
        <v>0</v>
      </c>
      <c r="I182" s="1">
        <f>IF(B182="", "", "10090")</f>
        <v>0</v>
      </c>
      <c r="J182" s="2">
        <f>IF(B182="", "", "missing: not provided")</f>
        <v>0</v>
      </c>
      <c r="K182" s="1">
        <f>IF(B182="", "", "g")</f>
        <v>0</v>
      </c>
    </row>
    <row r="183" spans="1:11">
      <c r="A183">
        <f>IF(COUNTBLANK(B183:K183)&lt;&gt;COLUMNS(B183:K183),182,"")</f>
        <v>0</v>
      </c>
      <c r="C183" s="2">
        <f>IF(B183="", "", "missing: not provided")</f>
        <v>0</v>
      </c>
      <c r="D183" s="1">
        <f>IF(B183="", "", "weeks")</f>
        <v>0</v>
      </c>
      <c r="E183" s="1">
        <f>IF(B183="", "", "urban biome")</f>
        <v>0</v>
      </c>
      <c r="F183" s="1">
        <f>IF(B183="", "", "animal-associated habitat")</f>
        <v>0</v>
      </c>
      <c r="G183" s="1">
        <f>IF(B183="", "", "mouse")</f>
        <v>0</v>
      </c>
      <c r="H183" s="1">
        <f>IF(B183="", "", "Mus musculus")</f>
        <v>0</v>
      </c>
      <c r="I183" s="1">
        <f>IF(B183="", "", "10090")</f>
        <v>0</v>
      </c>
      <c r="J183" s="2">
        <f>IF(B183="", "", "missing: not provided")</f>
        <v>0</v>
      </c>
      <c r="K183" s="1">
        <f>IF(B183="", "", "g")</f>
        <v>0</v>
      </c>
    </row>
    <row r="184" spans="1:11">
      <c r="A184">
        <f>IF(COUNTBLANK(B184:K184)&lt;&gt;COLUMNS(B184:K184),183,"")</f>
        <v>0</v>
      </c>
      <c r="C184" s="2">
        <f>IF(B184="", "", "missing: not provided")</f>
        <v>0</v>
      </c>
      <c r="D184" s="1">
        <f>IF(B184="", "", "weeks")</f>
        <v>0</v>
      </c>
      <c r="E184" s="1">
        <f>IF(B184="", "", "urban biome")</f>
        <v>0</v>
      </c>
      <c r="F184" s="1">
        <f>IF(B184="", "", "animal-associated habitat")</f>
        <v>0</v>
      </c>
      <c r="G184" s="1">
        <f>IF(B184="", "", "mouse")</f>
        <v>0</v>
      </c>
      <c r="H184" s="1">
        <f>IF(B184="", "", "Mus musculus")</f>
        <v>0</v>
      </c>
      <c r="I184" s="1">
        <f>IF(B184="", "", "10090")</f>
        <v>0</v>
      </c>
      <c r="J184" s="2">
        <f>IF(B184="", "", "missing: not provided")</f>
        <v>0</v>
      </c>
      <c r="K184" s="1">
        <f>IF(B184="", "", "g")</f>
        <v>0</v>
      </c>
    </row>
    <row r="185" spans="1:11">
      <c r="A185">
        <f>IF(COUNTBLANK(B185:K185)&lt;&gt;COLUMNS(B185:K185),184,"")</f>
        <v>0</v>
      </c>
      <c r="C185" s="2">
        <f>IF(B185="", "", "missing: not provided")</f>
        <v>0</v>
      </c>
      <c r="D185" s="1">
        <f>IF(B185="", "", "weeks")</f>
        <v>0</v>
      </c>
      <c r="E185" s="1">
        <f>IF(B185="", "", "urban biome")</f>
        <v>0</v>
      </c>
      <c r="F185" s="1">
        <f>IF(B185="", "", "animal-associated habitat")</f>
        <v>0</v>
      </c>
      <c r="G185" s="1">
        <f>IF(B185="", "", "mouse")</f>
        <v>0</v>
      </c>
      <c r="H185" s="1">
        <f>IF(B185="", "", "Mus musculus")</f>
        <v>0</v>
      </c>
      <c r="I185" s="1">
        <f>IF(B185="", "", "10090")</f>
        <v>0</v>
      </c>
      <c r="J185" s="2">
        <f>IF(B185="", "", "missing: not provided")</f>
        <v>0</v>
      </c>
      <c r="K185" s="1">
        <f>IF(B185="", "", "g")</f>
        <v>0</v>
      </c>
    </row>
    <row r="186" spans="1:11">
      <c r="A186">
        <f>IF(COUNTBLANK(B186:K186)&lt;&gt;COLUMNS(B186:K186),185,"")</f>
        <v>0</v>
      </c>
      <c r="C186" s="2">
        <f>IF(B186="", "", "missing: not provided")</f>
        <v>0</v>
      </c>
      <c r="D186" s="1">
        <f>IF(B186="", "", "weeks")</f>
        <v>0</v>
      </c>
      <c r="E186" s="1">
        <f>IF(B186="", "", "urban biome")</f>
        <v>0</v>
      </c>
      <c r="F186" s="1">
        <f>IF(B186="", "", "animal-associated habitat")</f>
        <v>0</v>
      </c>
      <c r="G186" s="1">
        <f>IF(B186="", "", "mouse")</f>
        <v>0</v>
      </c>
      <c r="H186" s="1">
        <f>IF(B186="", "", "Mus musculus")</f>
        <v>0</v>
      </c>
      <c r="I186" s="1">
        <f>IF(B186="", "", "10090")</f>
        <v>0</v>
      </c>
      <c r="J186" s="2">
        <f>IF(B186="", "", "missing: not provided")</f>
        <v>0</v>
      </c>
      <c r="K186" s="1">
        <f>IF(B186="", "", "g")</f>
        <v>0</v>
      </c>
    </row>
    <row r="187" spans="1:11">
      <c r="A187">
        <f>IF(COUNTBLANK(B187:K187)&lt;&gt;COLUMNS(B187:K187),186,"")</f>
        <v>0</v>
      </c>
      <c r="C187" s="2">
        <f>IF(B187="", "", "missing: not provided")</f>
        <v>0</v>
      </c>
      <c r="D187" s="1">
        <f>IF(B187="", "", "weeks")</f>
        <v>0</v>
      </c>
      <c r="E187" s="1">
        <f>IF(B187="", "", "urban biome")</f>
        <v>0</v>
      </c>
      <c r="F187" s="1">
        <f>IF(B187="", "", "animal-associated habitat")</f>
        <v>0</v>
      </c>
      <c r="G187" s="1">
        <f>IF(B187="", "", "mouse")</f>
        <v>0</v>
      </c>
      <c r="H187" s="1">
        <f>IF(B187="", "", "Mus musculus")</f>
        <v>0</v>
      </c>
      <c r="I187" s="1">
        <f>IF(B187="", "", "10090")</f>
        <v>0</v>
      </c>
      <c r="J187" s="2">
        <f>IF(B187="", "", "missing: not provided")</f>
        <v>0</v>
      </c>
      <c r="K187" s="1">
        <f>IF(B187="", "", "g")</f>
        <v>0</v>
      </c>
    </row>
    <row r="188" spans="1:11">
      <c r="A188">
        <f>IF(COUNTBLANK(B188:K188)&lt;&gt;COLUMNS(B188:K188),187,"")</f>
        <v>0</v>
      </c>
      <c r="C188" s="2">
        <f>IF(B188="", "", "missing: not provided")</f>
        <v>0</v>
      </c>
      <c r="D188" s="1">
        <f>IF(B188="", "", "weeks")</f>
        <v>0</v>
      </c>
      <c r="E188" s="1">
        <f>IF(B188="", "", "urban biome")</f>
        <v>0</v>
      </c>
      <c r="F188" s="1">
        <f>IF(B188="", "", "animal-associated habitat")</f>
        <v>0</v>
      </c>
      <c r="G188" s="1">
        <f>IF(B188="", "", "mouse")</f>
        <v>0</v>
      </c>
      <c r="H188" s="1">
        <f>IF(B188="", "", "Mus musculus")</f>
        <v>0</v>
      </c>
      <c r="I188" s="1">
        <f>IF(B188="", "", "10090")</f>
        <v>0</v>
      </c>
      <c r="J188" s="2">
        <f>IF(B188="", "", "missing: not provided")</f>
        <v>0</v>
      </c>
      <c r="K188" s="1">
        <f>IF(B188="", "", "g")</f>
        <v>0</v>
      </c>
    </row>
    <row r="189" spans="1:11">
      <c r="A189">
        <f>IF(COUNTBLANK(B189:K189)&lt;&gt;COLUMNS(B189:K189),188,"")</f>
        <v>0</v>
      </c>
      <c r="C189" s="2">
        <f>IF(B189="", "", "missing: not provided")</f>
        <v>0</v>
      </c>
      <c r="D189" s="1">
        <f>IF(B189="", "", "weeks")</f>
        <v>0</v>
      </c>
      <c r="E189" s="1">
        <f>IF(B189="", "", "urban biome")</f>
        <v>0</v>
      </c>
      <c r="F189" s="1">
        <f>IF(B189="", "", "animal-associated habitat")</f>
        <v>0</v>
      </c>
      <c r="G189" s="1">
        <f>IF(B189="", "", "mouse")</f>
        <v>0</v>
      </c>
      <c r="H189" s="1">
        <f>IF(B189="", "", "Mus musculus")</f>
        <v>0</v>
      </c>
      <c r="I189" s="1">
        <f>IF(B189="", "", "10090")</f>
        <v>0</v>
      </c>
      <c r="J189" s="2">
        <f>IF(B189="", "", "missing: not provided")</f>
        <v>0</v>
      </c>
      <c r="K189" s="1">
        <f>IF(B189="", "", "g")</f>
        <v>0</v>
      </c>
    </row>
    <row r="190" spans="1:11">
      <c r="A190">
        <f>IF(COUNTBLANK(B190:K190)&lt;&gt;COLUMNS(B190:K190),189,"")</f>
        <v>0</v>
      </c>
      <c r="C190" s="2">
        <f>IF(B190="", "", "missing: not provided")</f>
        <v>0</v>
      </c>
      <c r="D190" s="1">
        <f>IF(B190="", "", "weeks")</f>
        <v>0</v>
      </c>
      <c r="E190" s="1">
        <f>IF(B190="", "", "urban biome")</f>
        <v>0</v>
      </c>
      <c r="F190" s="1">
        <f>IF(B190="", "", "animal-associated habitat")</f>
        <v>0</v>
      </c>
      <c r="G190" s="1">
        <f>IF(B190="", "", "mouse")</f>
        <v>0</v>
      </c>
      <c r="H190" s="1">
        <f>IF(B190="", "", "Mus musculus")</f>
        <v>0</v>
      </c>
      <c r="I190" s="1">
        <f>IF(B190="", "", "10090")</f>
        <v>0</v>
      </c>
      <c r="J190" s="2">
        <f>IF(B190="", "", "missing: not provided")</f>
        <v>0</v>
      </c>
      <c r="K190" s="1">
        <f>IF(B190="", "", "g")</f>
        <v>0</v>
      </c>
    </row>
    <row r="191" spans="1:11">
      <c r="A191">
        <f>IF(COUNTBLANK(B191:K191)&lt;&gt;COLUMNS(B191:K191),190,"")</f>
        <v>0</v>
      </c>
      <c r="C191" s="2">
        <f>IF(B191="", "", "missing: not provided")</f>
        <v>0</v>
      </c>
      <c r="D191" s="1">
        <f>IF(B191="", "", "weeks")</f>
        <v>0</v>
      </c>
      <c r="E191" s="1">
        <f>IF(B191="", "", "urban biome")</f>
        <v>0</v>
      </c>
      <c r="F191" s="1">
        <f>IF(B191="", "", "animal-associated habitat")</f>
        <v>0</v>
      </c>
      <c r="G191" s="1">
        <f>IF(B191="", "", "mouse")</f>
        <v>0</v>
      </c>
      <c r="H191" s="1">
        <f>IF(B191="", "", "Mus musculus")</f>
        <v>0</v>
      </c>
      <c r="I191" s="1">
        <f>IF(B191="", "", "10090")</f>
        <v>0</v>
      </c>
      <c r="J191" s="2">
        <f>IF(B191="", "", "missing: not provided")</f>
        <v>0</v>
      </c>
      <c r="K191" s="1">
        <f>IF(B191="", "", "g")</f>
        <v>0</v>
      </c>
    </row>
    <row r="192" spans="1:11">
      <c r="A192">
        <f>IF(COUNTBLANK(B192:K192)&lt;&gt;COLUMNS(B192:K192),191,"")</f>
        <v>0</v>
      </c>
      <c r="C192" s="2">
        <f>IF(B192="", "", "missing: not provided")</f>
        <v>0</v>
      </c>
      <c r="D192" s="1">
        <f>IF(B192="", "", "weeks")</f>
        <v>0</v>
      </c>
      <c r="E192" s="1">
        <f>IF(B192="", "", "urban biome")</f>
        <v>0</v>
      </c>
      <c r="F192" s="1">
        <f>IF(B192="", "", "animal-associated habitat")</f>
        <v>0</v>
      </c>
      <c r="G192" s="1">
        <f>IF(B192="", "", "mouse")</f>
        <v>0</v>
      </c>
      <c r="H192" s="1">
        <f>IF(B192="", "", "Mus musculus")</f>
        <v>0</v>
      </c>
      <c r="I192" s="1">
        <f>IF(B192="", "", "10090")</f>
        <v>0</v>
      </c>
      <c r="J192" s="2">
        <f>IF(B192="", "", "missing: not provided")</f>
        <v>0</v>
      </c>
      <c r="K192" s="1">
        <f>IF(B192="", "", "g")</f>
        <v>0</v>
      </c>
    </row>
    <row r="193" spans="1:11">
      <c r="A193">
        <f>IF(COUNTBLANK(B193:K193)&lt;&gt;COLUMNS(B193:K193),192,"")</f>
        <v>0</v>
      </c>
      <c r="C193" s="2">
        <f>IF(B193="", "", "missing: not provided")</f>
        <v>0</v>
      </c>
      <c r="D193" s="1">
        <f>IF(B193="", "", "weeks")</f>
        <v>0</v>
      </c>
      <c r="E193" s="1">
        <f>IF(B193="", "", "urban biome")</f>
        <v>0</v>
      </c>
      <c r="F193" s="1">
        <f>IF(B193="", "", "animal-associated habitat")</f>
        <v>0</v>
      </c>
      <c r="G193" s="1">
        <f>IF(B193="", "", "mouse")</f>
        <v>0</v>
      </c>
      <c r="H193" s="1">
        <f>IF(B193="", "", "Mus musculus")</f>
        <v>0</v>
      </c>
      <c r="I193" s="1">
        <f>IF(B193="", "", "10090")</f>
        <v>0</v>
      </c>
      <c r="J193" s="2">
        <f>IF(B193="", "", "missing: not provided")</f>
        <v>0</v>
      </c>
      <c r="K193" s="1">
        <f>IF(B193="", "", "g")</f>
        <v>0</v>
      </c>
    </row>
    <row r="194" spans="1:11">
      <c r="A194">
        <f>IF(COUNTBLANK(B194:K194)&lt;&gt;COLUMNS(B194:K194),193,"")</f>
        <v>0</v>
      </c>
      <c r="C194" s="2">
        <f>IF(B194="", "", "missing: not provided")</f>
        <v>0</v>
      </c>
      <c r="D194" s="1">
        <f>IF(B194="", "", "weeks")</f>
        <v>0</v>
      </c>
      <c r="E194" s="1">
        <f>IF(B194="", "", "urban biome")</f>
        <v>0</v>
      </c>
      <c r="F194" s="1">
        <f>IF(B194="", "", "animal-associated habitat")</f>
        <v>0</v>
      </c>
      <c r="G194" s="1">
        <f>IF(B194="", "", "mouse")</f>
        <v>0</v>
      </c>
      <c r="H194" s="1">
        <f>IF(B194="", "", "Mus musculus")</f>
        <v>0</v>
      </c>
      <c r="I194" s="1">
        <f>IF(B194="", "", "10090")</f>
        <v>0</v>
      </c>
      <c r="J194" s="2">
        <f>IF(B194="", "", "missing: not provided")</f>
        <v>0</v>
      </c>
      <c r="K194" s="1">
        <f>IF(B194="", "", "g")</f>
        <v>0</v>
      </c>
    </row>
    <row r="195" spans="1:11">
      <c r="A195">
        <f>IF(COUNTBLANK(B195:K195)&lt;&gt;COLUMNS(B195:K195),194,"")</f>
        <v>0</v>
      </c>
      <c r="C195" s="2">
        <f>IF(B195="", "", "missing: not provided")</f>
        <v>0</v>
      </c>
      <c r="D195" s="1">
        <f>IF(B195="", "", "weeks")</f>
        <v>0</v>
      </c>
      <c r="E195" s="1">
        <f>IF(B195="", "", "urban biome")</f>
        <v>0</v>
      </c>
      <c r="F195" s="1">
        <f>IF(B195="", "", "animal-associated habitat")</f>
        <v>0</v>
      </c>
      <c r="G195" s="1">
        <f>IF(B195="", "", "mouse")</f>
        <v>0</v>
      </c>
      <c r="H195" s="1">
        <f>IF(B195="", "", "Mus musculus")</f>
        <v>0</v>
      </c>
      <c r="I195" s="1">
        <f>IF(B195="", "", "10090")</f>
        <v>0</v>
      </c>
      <c r="J195" s="2">
        <f>IF(B195="", "", "missing: not provided")</f>
        <v>0</v>
      </c>
      <c r="K195" s="1">
        <f>IF(B195="", "", "g")</f>
        <v>0</v>
      </c>
    </row>
    <row r="196" spans="1:11">
      <c r="A196">
        <f>IF(COUNTBLANK(B196:K196)&lt;&gt;COLUMNS(B196:K196),195,"")</f>
        <v>0</v>
      </c>
      <c r="C196" s="2">
        <f>IF(B196="", "", "missing: not provided")</f>
        <v>0</v>
      </c>
      <c r="D196" s="1">
        <f>IF(B196="", "", "weeks")</f>
        <v>0</v>
      </c>
      <c r="E196" s="1">
        <f>IF(B196="", "", "urban biome")</f>
        <v>0</v>
      </c>
      <c r="F196" s="1">
        <f>IF(B196="", "", "animal-associated habitat")</f>
        <v>0</v>
      </c>
      <c r="G196" s="1">
        <f>IF(B196="", "", "mouse")</f>
        <v>0</v>
      </c>
      <c r="H196" s="1">
        <f>IF(B196="", "", "Mus musculus")</f>
        <v>0</v>
      </c>
      <c r="I196" s="1">
        <f>IF(B196="", "", "10090")</f>
        <v>0</v>
      </c>
      <c r="J196" s="2">
        <f>IF(B196="", "", "missing: not provided")</f>
        <v>0</v>
      </c>
      <c r="K196" s="1">
        <f>IF(B196="", "", "g")</f>
        <v>0</v>
      </c>
    </row>
    <row r="197" spans="1:11">
      <c r="A197">
        <f>IF(COUNTBLANK(B197:K197)&lt;&gt;COLUMNS(B197:K197),196,"")</f>
        <v>0</v>
      </c>
      <c r="C197" s="2">
        <f>IF(B197="", "", "missing: not provided")</f>
        <v>0</v>
      </c>
      <c r="D197" s="1">
        <f>IF(B197="", "", "weeks")</f>
        <v>0</v>
      </c>
      <c r="E197" s="1">
        <f>IF(B197="", "", "urban biome")</f>
        <v>0</v>
      </c>
      <c r="F197" s="1">
        <f>IF(B197="", "", "animal-associated habitat")</f>
        <v>0</v>
      </c>
      <c r="G197" s="1">
        <f>IF(B197="", "", "mouse")</f>
        <v>0</v>
      </c>
      <c r="H197" s="1">
        <f>IF(B197="", "", "Mus musculus")</f>
        <v>0</v>
      </c>
      <c r="I197" s="1">
        <f>IF(B197="", "", "10090")</f>
        <v>0</v>
      </c>
      <c r="J197" s="2">
        <f>IF(B197="", "", "missing: not provided")</f>
        <v>0</v>
      </c>
      <c r="K197" s="1">
        <f>IF(B197="", "", "g")</f>
        <v>0</v>
      </c>
    </row>
    <row r="198" spans="1:11">
      <c r="A198">
        <f>IF(COUNTBLANK(B198:K198)&lt;&gt;COLUMNS(B198:K198),197,"")</f>
        <v>0</v>
      </c>
      <c r="C198" s="2">
        <f>IF(B198="", "", "missing: not provided")</f>
        <v>0</v>
      </c>
      <c r="D198" s="1">
        <f>IF(B198="", "", "weeks")</f>
        <v>0</v>
      </c>
      <c r="E198" s="1">
        <f>IF(B198="", "", "urban biome")</f>
        <v>0</v>
      </c>
      <c r="F198" s="1">
        <f>IF(B198="", "", "animal-associated habitat")</f>
        <v>0</v>
      </c>
      <c r="G198" s="1">
        <f>IF(B198="", "", "mouse")</f>
        <v>0</v>
      </c>
      <c r="H198" s="1">
        <f>IF(B198="", "", "Mus musculus")</f>
        <v>0</v>
      </c>
      <c r="I198" s="1">
        <f>IF(B198="", "", "10090")</f>
        <v>0</v>
      </c>
      <c r="J198" s="2">
        <f>IF(B198="", "", "missing: not provided")</f>
        <v>0</v>
      </c>
      <c r="K198" s="1">
        <f>IF(B198="", "", "g")</f>
        <v>0</v>
      </c>
    </row>
    <row r="199" spans="1:11">
      <c r="A199">
        <f>IF(COUNTBLANK(B199:K199)&lt;&gt;COLUMNS(B199:K199),198,"")</f>
        <v>0</v>
      </c>
      <c r="C199" s="2">
        <f>IF(B199="", "", "missing: not provided")</f>
        <v>0</v>
      </c>
      <c r="D199" s="1">
        <f>IF(B199="", "", "weeks")</f>
        <v>0</v>
      </c>
      <c r="E199" s="1">
        <f>IF(B199="", "", "urban biome")</f>
        <v>0</v>
      </c>
      <c r="F199" s="1">
        <f>IF(B199="", "", "animal-associated habitat")</f>
        <v>0</v>
      </c>
      <c r="G199" s="1">
        <f>IF(B199="", "", "mouse")</f>
        <v>0</v>
      </c>
      <c r="H199" s="1">
        <f>IF(B199="", "", "Mus musculus")</f>
        <v>0</v>
      </c>
      <c r="I199" s="1">
        <f>IF(B199="", "", "10090")</f>
        <v>0</v>
      </c>
      <c r="J199" s="2">
        <f>IF(B199="", "", "missing: not provided")</f>
        <v>0</v>
      </c>
      <c r="K199" s="1">
        <f>IF(B199="", "", "g")</f>
        <v>0</v>
      </c>
    </row>
    <row r="200" spans="1:11">
      <c r="A200">
        <f>IF(COUNTBLANK(B200:K200)&lt;&gt;COLUMNS(B200:K200),199,"")</f>
        <v>0</v>
      </c>
      <c r="C200" s="2">
        <f>IF(B200="", "", "missing: not provided")</f>
        <v>0</v>
      </c>
      <c r="D200" s="1">
        <f>IF(B200="", "", "weeks")</f>
        <v>0</v>
      </c>
      <c r="E200" s="1">
        <f>IF(B200="", "", "urban biome")</f>
        <v>0</v>
      </c>
      <c r="F200" s="1">
        <f>IF(B200="", "", "animal-associated habitat")</f>
        <v>0</v>
      </c>
      <c r="G200" s="1">
        <f>IF(B200="", "", "mouse")</f>
        <v>0</v>
      </c>
      <c r="H200" s="1">
        <f>IF(B200="", "", "Mus musculus")</f>
        <v>0</v>
      </c>
      <c r="I200" s="1">
        <f>IF(B200="", "", "10090")</f>
        <v>0</v>
      </c>
      <c r="J200" s="2">
        <f>IF(B200="", "", "missing: not provided")</f>
        <v>0</v>
      </c>
      <c r="K200" s="1">
        <f>IF(B200="", "", "g")</f>
        <v>0</v>
      </c>
    </row>
    <row r="201" spans="1:11">
      <c r="A201">
        <f>IF(COUNTBLANK(B201:K201)&lt;&gt;COLUMNS(B201:K201),200,"")</f>
        <v>0</v>
      </c>
      <c r="C201" s="2">
        <f>IF(B201="", "", "missing: not provided")</f>
        <v>0</v>
      </c>
      <c r="D201" s="1">
        <f>IF(B201="", "", "weeks")</f>
        <v>0</v>
      </c>
      <c r="E201" s="1">
        <f>IF(B201="", "", "urban biome")</f>
        <v>0</v>
      </c>
      <c r="F201" s="1">
        <f>IF(B201="", "", "animal-associated habitat")</f>
        <v>0</v>
      </c>
      <c r="G201" s="1">
        <f>IF(B201="", "", "mouse")</f>
        <v>0</v>
      </c>
      <c r="H201" s="1">
        <f>IF(B201="", "", "Mus musculus")</f>
        <v>0</v>
      </c>
      <c r="I201" s="1">
        <f>IF(B201="", "", "10090")</f>
        <v>0</v>
      </c>
      <c r="J201" s="2">
        <f>IF(B201="", "", "missing: not provided")</f>
        <v>0</v>
      </c>
      <c r="K201" s="1">
        <f>IF(B201="", "", "g")</f>
        <v>0</v>
      </c>
    </row>
    <row r="202" spans="1:11">
      <c r="A202">
        <f>IF(COUNTBLANK(B202:K202)&lt;&gt;COLUMNS(B202:K202),201,"")</f>
        <v>0</v>
      </c>
      <c r="C202" s="2">
        <f>IF(B202="", "", "missing: not provided")</f>
        <v>0</v>
      </c>
      <c r="D202" s="1">
        <f>IF(B202="", "", "weeks")</f>
        <v>0</v>
      </c>
      <c r="E202" s="1">
        <f>IF(B202="", "", "urban biome")</f>
        <v>0</v>
      </c>
      <c r="F202" s="1">
        <f>IF(B202="", "", "animal-associated habitat")</f>
        <v>0</v>
      </c>
      <c r="G202" s="1">
        <f>IF(B202="", "", "mouse")</f>
        <v>0</v>
      </c>
      <c r="H202" s="1">
        <f>IF(B202="", "", "Mus musculus")</f>
        <v>0</v>
      </c>
      <c r="I202" s="1">
        <f>IF(B202="", "", "10090")</f>
        <v>0</v>
      </c>
      <c r="J202" s="2">
        <f>IF(B202="", "", "missing: not provided")</f>
        <v>0</v>
      </c>
      <c r="K202" s="1">
        <f>IF(B202="", "", "g")</f>
        <v>0</v>
      </c>
    </row>
    <row r="203" spans="1:11">
      <c r="A203">
        <f>IF(COUNTBLANK(B203:K203)&lt;&gt;COLUMNS(B203:K203),202,"")</f>
        <v>0</v>
      </c>
      <c r="C203" s="2">
        <f>IF(B203="", "", "missing: not provided")</f>
        <v>0</v>
      </c>
      <c r="D203" s="1">
        <f>IF(B203="", "", "weeks")</f>
        <v>0</v>
      </c>
      <c r="E203" s="1">
        <f>IF(B203="", "", "urban biome")</f>
        <v>0</v>
      </c>
      <c r="F203" s="1">
        <f>IF(B203="", "", "animal-associated habitat")</f>
        <v>0</v>
      </c>
      <c r="G203" s="1">
        <f>IF(B203="", "", "mouse")</f>
        <v>0</v>
      </c>
      <c r="H203" s="1">
        <f>IF(B203="", "", "Mus musculus")</f>
        <v>0</v>
      </c>
      <c r="I203" s="1">
        <f>IF(B203="", "", "10090")</f>
        <v>0</v>
      </c>
      <c r="J203" s="2">
        <f>IF(B203="", "", "missing: not provided")</f>
        <v>0</v>
      </c>
      <c r="K203" s="1">
        <f>IF(B203="", "", "g")</f>
        <v>0</v>
      </c>
    </row>
    <row r="204" spans="1:11">
      <c r="A204">
        <f>IF(COUNTBLANK(B204:K204)&lt;&gt;COLUMNS(B204:K204),203,"")</f>
        <v>0</v>
      </c>
      <c r="C204" s="2">
        <f>IF(B204="", "", "missing: not provided")</f>
        <v>0</v>
      </c>
      <c r="D204" s="1">
        <f>IF(B204="", "", "weeks")</f>
        <v>0</v>
      </c>
      <c r="E204" s="1">
        <f>IF(B204="", "", "urban biome")</f>
        <v>0</v>
      </c>
      <c r="F204" s="1">
        <f>IF(B204="", "", "animal-associated habitat")</f>
        <v>0</v>
      </c>
      <c r="G204" s="1">
        <f>IF(B204="", "", "mouse")</f>
        <v>0</v>
      </c>
      <c r="H204" s="1">
        <f>IF(B204="", "", "Mus musculus")</f>
        <v>0</v>
      </c>
      <c r="I204" s="1">
        <f>IF(B204="", "", "10090")</f>
        <v>0</v>
      </c>
      <c r="J204" s="2">
        <f>IF(B204="", "", "missing: not provided")</f>
        <v>0</v>
      </c>
      <c r="K204" s="1">
        <f>IF(B204="", "", "g")</f>
        <v>0</v>
      </c>
    </row>
    <row r="205" spans="1:11">
      <c r="A205">
        <f>IF(COUNTBLANK(B205:K205)&lt;&gt;COLUMNS(B205:K205),204,"")</f>
        <v>0</v>
      </c>
      <c r="C205" s="2">
        <f>IF(B205="", "", "missing: not provided")</f>
        <v>0</v>
      </c>
      <c r="D205" s="1">
        <f>IF(B205="", "", "weeks")</f>
        <v>0</v>
      </c>
      <c r="E205" s="1">
        <f>IF(B205="", "", "urban biome")</f>
        <v>0</v>
      </c>
      <c r="F205" s="1">
        <f>IF(B205="", "", "animal-associated habitat")</f>
        <v>0</v>
      </c>
      <c r="G205" s="1">
        <f>IF(B205="", "", "mouse")</f>
        <v>0</v>
      </c>
      <c r="H205" s="1">
        <f>IF(B205="", "", "Mus musculus")</f>
        <v>0</v>
      </c>
      <c r="I205" s="1">
        <f>IF(B205="", "", "10090")</f>
        <v>0</v>
      </c>
      <c r="J205" s="2">
        <f>IF(B205="", "", "missing: not provided")</f>
        <v>0</v>
      </c>
      <c r="K205" s="1">
        <f>IF(B205="", "", "g")</f>
        <v>0</v>
      </c>
    </row>
    <row r="206" spans="1:11">
      <c r="A206">
        <f>IF(COUNTBLANK(B206:K206)&lt;&gt;COLUMNS(B206:K206),205,"")</f>
        <v>0</v>
      </c>
      <c r="C206" s="2">
        <f>IF(B206="", "", "missing: not provided")</f>
        <v>0</v>
      </c>
      <c r="D206" s="1">
        <f>IF(B206="", "", "weeks")</f>
        <v>0</v>
      </c>
      <c r="E206" s="1">
        <f>IF(B206="", "", "urban biome")</f>
        <v>0</v>
      </c>
      <c r="F206" s="1">
        <f>IF(B206="", "", "animal-associated habitat")</f>
        <v>0</v>
      </c>
      <c r="G206" s="1">
        <f>IF(B206="", "", "mouse")</f>
        <v>0</v>
      </c>
      <c r="H206" s="1">
        <f>IF(B206="", "", "Mus musculus")</f>
        <v>0</v>
      </c>
      <c r="I206" s="1">
        <f>IF(B206="", "", "10090")</f>
        <v>0</v>
      </c>
      <c r="J206" s="2">
        <f>IF(B206="", "", "missing: not provided")</f>
        <v>0</v>
      </c>
      <c r="K206" s="1">
        <f>IF(B206="", "", "g")</f>
        <v>0</v>
      </c>
    </row>
    <row r="207" spans="1:11">
      <c r="A207">
        <f>IF(COUNTBLANK(B207:K207)&lt;&gt;COLUMNS(B207:K207),206,"")</f>
        <v>0</v>
      </c>
      <c r="C207" s="2">
        <f>IF(B207="", "", "missing: not provided")</f>
        <v>0</v>
      </c>
      <c r="D207" s="1">
        <f>IF(B207="", "", "weeks")</f>
        <v>0</v>
      </c>
      <c r="E207" s="1">
        <f>IF(B207="", "", "urban biome")</f>
        <v>0</v>
      </c>
      <c r="F207" s="1">
        <f>IF(B207="", "", "animal-associated habitat")</f>
        <v>0</v>
      </c>
      <c r="G207" s="1">
        <f>IF(B207="", "", "mouse")</f>
        <v>0</v>
      </c>
      <c r="H207" s="1">
        <f>IF(B207="", "", "Mus musculus")</f>
        <v>0</v>
      </c>
      <c r="I207" s="1">
        <f>IF(B207="", "", "10090")</f>
        <v>0</v>
      </c>
      <c r="J207" s="2">
        <f>IF(B207="", "", "missing: not provided")</f>
        <v>0</v>
      </c>
      <c r="K207" s="1">
        <f>IF(B207="", "", "g")</f>
        <v>0</v>
      </c>
    </row>
    <row r="208" spans="1:11">
      <c r="A208">
        <f>IF(COUNTBLANK(B208:K208)&lt;&gt;COLUMNS(B208:K208),207,"")</f>
        <v>0</v>
      </c>
      <c r="C208" s="2">
        <f>IF(B208="", "", "missing: not provided")</f>
        <v>0</v>
      </c>
      <c r="D208" s="1">
        <f>IF(B208="", "", "weeks")</f>
        <v>0</v>
      </c>
      <c r="E208" s="1">
        <f>IF(B208="", "", "urban biome")</f>
        <v>0</v>
      </c>
      <c r="F208" s="1">
        <f>IF(B208="", "", "animal-associated habitat")</f>
        <v>0</v>
      </c>
      <c r="G208" s="1">
        <f>IF(B208="", "", "mouse")</f>
        <v>0</v>
      </c>
      <c r="H208" s="1">
        <f>IF(B208="", "", "Mus musculus")</f>
        <v>0</v>
      </c>
      <c r="I208" s="1">
        <f>IF(B208="", "", "10090")</f>
        <v>0</v>
      </c>
      <c r="J208" s="2">
        <f>IF(B208="", "", "missing: not provided")</f>
        <v>0</v>
      </c>
      <c r="K208" s="1">
        <f>IF(B208="", "", "g")</f>
        <v>0</v>
      </c>
    </row>
    <row r="209" spans="1:11">
      <c r="A209">
        <f>IF(COUNTBLANK(B209:K209)&lt;&gt;COLUMNS(B209:K209),208,"")</f>
        <v>0</v>
      </c>
      <c r="C209" s="2">
        <f>IF(B209="", "", "missing: not provided")</f>
        <v>0</v>
      </c>
      <c r="D209" s="1">
        <f>IF(B209="", "", "weeks")</f>
        <v>0</v>
      </c>
      <c r="E209" s="1">
        <f>IF(B209="", "", "urban biome")</f>
        <v>0</v>
      </c>
      <c r="F209" s="1">
        <f>IF(B209="", "", "animal-associated habitat")</f>
        <v>0</v>
      </c>
      <c r="G209" s="1">
        <f>IF(B209="", "", "mouse")</f>
        <v>0</v>
      </c>
      <c r="H209" s="1">
        <f>IF(B209="", "", "Mus musculus")</f>
        <v>0</v>
      </c>
      <c r="I209" s="1">
        <f>IF(B209="", "", "10090")</f>
        <v>0</v>
      </c>
      <c r="J209" s="2">
        <f>IF(B209="", "", "missing: not provided")</f>
        <v>0</v>
      </c>
      <c r="K209" s="1">
        <f>IF(B209="", "", "g")</f>
        <v>0</v>
      </c>
    </row>
    <row r="210" spans="1:11">
      <c r="A210">
        <f>IF(COUNTBLANK(B210:K210)&lt;&gt;COLUMNS(B210:K210),209,"")</f>
        <v>0</v>
      </c>
      <c r="C210" s="2">
        <f>IF(B210="", "", "missing: not provided")</f>
        <v>0</v>
      </c>
      <c r="D210" s="1">
        <f>IF(B210="", "", "weeks")</f>
        <v>0</v>
      </c>
      <c r="E210" s="1">
        <f>IF(B210="", "", "urban biome")</f>
        <v>0</v>
      </c>
      <c r="F210" s="1">
        <f>IF(B210="", "", "animal-associated habitat")</f>
        <v>0</v>
      </c>
      <c r="G210" s="1">
        <f>IF(B210="", "", "mouse")</f>
        <v>0</v>
      </c>
      <c r="H210" s="1">
        <f>IF(B210="", "", "Mus musculus")</f>
        <v>0</v>
      </c>
      <c r="I210" s="1">
        <f>IF(B210="", "", "10090")</f>
        <v>0</v>
      </c>
      <c r="J210" s="2">
        <f>IF(B210="", "", "missing: not provided")</f>
        <v>0</v>
      </c>
      <c r="K210" s="1">
        <f>IF(B210="", "", "g")</f>
        <v>0</v>
      </c>
    </row>
    <row r="211" spans="1:11">
      <c r="A211">
        <f>IF(COUNTBLANK(B211:K211)&lt;&gt;COLUMNS(B211:K211),210,"")</f>
        <v>0</v>
      </c>
      <c r="C211" s="2">
        <f>IF(B211="", "", "missing: not provided")</f>
        <v>0</v>
      </c>
      <c r="D211" s="1">
        <f>IF(B211="", "", "weeks")</f>
        <v>0</v>
      </c>
      <c r="E211" s="1">
        <f>IF(B211="", "", "urban biome")</f>
        <v>0</v>
      </c>
      <c r="F211" s="1">
        <f>IF(B211="", "", "animal-associated habitat")</f>
        <v>0</v>
      </c>
      <c r="G211" s="1">
        <f>IF(B211="", "", "mouse")</f>
        <v>0</v>
      </c>
      <c r="H211" s="1">
        <f>IF(B211="", "", "Mus musculus")</f>
        <v>0</v>
      </c>
      <c r="I211" s="1">
        <f>IF(B211="", "", "10090")</f>
        <v>0</v>
      </c>
      <c r="J211" s="2">
        <f>IF(B211="", "", "missing: not provided")</f>
        <v>0</v>
      </c>
      <c r="K211" s="1">
        <f>IF(B211="", "", "g")</f>
        <v>0</v>
      </c>
    </row>
    <row r="212" spans="1:11">
      <c r="A212">
        <f>IF(COUNTBLANK(B212:K212)&lt;&gt;COLUMNS(B212:K212),211,"")</f>
        <v>0</v>
      </c>
      <c r="C212" s="2">
        <f>IF(B212="", "", "missing: not provided")</f>
        <v>0</v>
      </c>
      <c r="D212" s="1">
        <f>IF(B212="", "", "weeks")</f>
        <v>0</v>
      </c>
      <c r="E212" s="1">
        <f>IF(B212="", "", "urban biome")</f>
        <v>0</v>
      </c>
      <c r="F212" s="1">
        <f>IF(B212="", "", "animal-associated habitat")</f>
        <v>0</v>
      </c>
      <c r="G212" s="1">
        <f>IF(B212="", "", "mouse")</f>
        <v>0</v>
      </c>
      <c r="H212" s="1">
        <f>IF(B212="", "", "Mus musculus")</f>
        <v>0</v>
      </c>
      <c r="I212" s="1">
        <f>IF(B212="", "", "10090")</f>
        <v>0</v>
      </c>
      <c r="J212" s="2">
        <f>IF(B212="", "", "missing: not provided")</f>
        <v>0</v>
      </c>
      <c r="K212" s="1">
        <f>IF(B212="", "", "g")</f>
        <v>0</v>
      </c>
    </row>
    <row r="213" spans="1:11">
      <c r="A213">
        <f>IF(COUNTBLANK(B213:K213)&lt;&gt;COLUMNS(B213:K213),212,"")</f>
        <v>0</v>
      </c>
      <c r="C213" s="2">
        <f>IF(B213="", "", "missing: not provided")</f>
        <v>0</v>
      </c>
      <c r="D213" s="1">
        <f>IF(B213="", "", "weeks")</f>
        <v>0</v>
      </c>
      <c r="E213" s="1">
        <f>IF(B213="", "", "urban biome")</f>
        <v>0</v>
      </c>
      <c r="F213" s="1">
        <f>IF(B213="", "", "animal-associated habitat")</f>
        <v>0</v>
      </c>
      <c r="G213" s="1">
        <f>IF(B213="", "", "mouse")</f>
        <v>0</v>
      </c>
      <c r="H213" s="1">
        <f>IF(B213="", "", "Mus musculus")</f>
        <v>0</v>
      </c>
      <c r="I213" s="1">
        <f>IF(B213="", "", "10090")</f>
        <v>0</v>
      </c>
      <c r="J213" s="2">
        <f>IF(B213="", "", "missing: not provided")</f>
        <v>0</v>
      </c>
      <c r="K213" s="1">
        <f>IF(B213="", "", "g")</f>
        <v>0</v>
      </c>
    </row>
    <row r="214" spans="1:11">
      <c r="A214">
        <f>IF(COUNTBLANK(B214:K214)&lt;&gt;COLUMNS(B214:K214),213,"")</f>
        <v>0</v>
      </c>
      <c r="C214" s="2">
        <f>IF(B214="", "", "missing: not provided")</f>
        <v>0</v>
      </c>
      <c r="D214" s="1">
        <f>IF(B214="", "", "weeks")</f>
        <v>0</v>
      </c>
      <c r="E214" s="1">
        <f>IF(B214="", "", "urban biome")</f>
        <v>0</v>
      </c>
      <c r="F214" s="1">
        <f>IF(B214="", "", "animal-associated habitat")</f>
        <v>0</v>
      </c>
      <c r="G214" s="1">
        <f>IF(B214="", "", "mouse")</f>
        <v>0</v>
      </c>
      <c r="H214" s="1">
        <f>IF(B214="", "", "Mus musculus")</f>
        <v>0</v>
      </c>
      <c r="I214" s="1">
        <f>IF(B214="", "", "10090")</f>
        <v>0</v>
      </c>
      <c r="J214" s="2">
        <f>IF(B214="", "", "missing: not provided")</f>
        <v>0</v>
      </c>
      <c r="K214" s="1">
        <f>IF(B214="", "", "g")</f>
        <v>0</v>
      </c>
    </row>
    <row r="215" spans="1:11">
      <c r="A215">
        <f>IF(COUNTBLANK(B215:K215)&lt;&gt;COLUMNS(B215:K215),214,"")</f>
        <v>0</v>
      </c>
      <c r="C215" s="2">
        <f>IF(B215="", "", "missing: not provided")</f>
        <v>0</v>
      </c>
      <c r="D215" s="1">
        <f>IF(B215="", "", "weeks")</f>
        <v>0</v>
      </c>
      <c r="E215" s="1">
        <f>IF(B215="", "", "urban biome")</f>
        <v>0</v>
      </c>
      <c r="F215" s="1">
        <f>IF(B215="", "", "animal-associated habitat")</f>
        <v>0</v>
      </c>
      <c r="G215" s="1">
        <f>IF(B215="", "", "mouse")</f>
        <v>0</v>
      </c>
      <c r="H215" s="1">
        <f>IF(B215="", "", "Mus musculus")</f>
        <v>0</v>
      </c>
      <c r="I215" s="1">
        <f>IF(B215="", "", "10090")</f>
        <v>0</v>
      </c>
      <c r="J215" s="2">
        <f>IF(B215="", "", "missing: not provided")</f>
        <v>0</v>
      </c>
      <c r="K215" s="1">
        <f>IF(B215="", "", "g")</f>
        <v>0</v>
      </c>
    </row>
    <row r="216" spans="1:11">
      <c r="A216">
        <f>IF(COUNTBLANK(B216:K216)&lt;&gt;COLUMNS(B216:K216),215,"")</f>
        <v>0</v>
      </c>
      <c r="C216" s="2">
        <f>IF(B216="", "", "missing: not provided")</f>
        <v>0</v>
      </c>
      <c r="D216" s="1">
        <f>IF(B216="", "", "weeks")</f>
        <v>0</v>
      </c>
      <c r="E216" s="1">
        <f>IF(B216="", "", "urban biome")</f>
        <v>0</v>
      </c>
      <c r="F216" s="1">
        <f>IF(B216="", "", "animal-associated habitat")</f>
        <v>0</v>
      </c>
      <c r="G216" s="1">
        <f>IF(B216="", "", "mouse")</f>
        <v>0</v>
      </c>
      <c r="H216" s="1">
        <f>IF(B216="", "", "Mus musculus")</f>
        <v>0</v>
      </c>
      <c r="I216" s="1">
        <f>IF(B216="", "", "10090")</f>
        <v>0</v>
      </c>
      <c r="J216" s="2">
        <f>IF(B216="", "", "missing: not provided")</f>
        <v>0</v>
      </c>
      <c r="K216" s="1">
        <f>IF(B216="", "", "g")</f>
        <v>0</v>
      </c>
    </row>
    <row r="217" spans="1:11">
      <c r="A217">
        <f>IF(COUNTBLANK(B217:K217)&lt;&gt;COLUMNS(B217:K217),216,"")</f>
        <v>0</v>
      </c>
      <c r="C217" s="2">
        <f>IF(B217="", "", "missing: not provided")</f>
        <v>0</v>
      </c>
      <c r="D217" s="1">
        <f>IF(B217="", "", "weeks")</f>
        <v>0</v>
      </c>
      <c r="E217" s="1">
        <f>IF(B217="", "", "urban biome")</f>
        <v>0</v>
      </c>
      <c r="F217" s="1">
        <f>IF(B217="", "", "animal-associated habitat")</f>
        <v>0</v>
      </c>
      <c r="G217" s="1">
        <f>IF(B217="", "", "mouse")</f>
        <v>0</v>
      </c>
      <c r="H217" s="1">
        <f>IF(B217="", "", "Mus musculus")</f>
        <v>0</v>
      </c>
      <c r="I217" s="1">
        <f>IF(B217="", "", "10090")</f>
        <v>0</v>
      </c>
      <c r="J217" s="2">
        <f>IF(B217="", "", "missing: not provided")</f>
        <v>0</v>
      </c>
      <c r="K217" s="1">
        <f>IF(B217="", "", "g")</f>
        <v>0</v>
      </c>
    </row>
    <row r="218" spans="1:11">
      <c r="A218">
        <f>IF(COUNTBLANK(B218:K218)&lt;&gt;COLUMNS(B218:K218),217,"")</f>
        <v>0</v>
      </c>
      <c r="C218" s="2">
        <f>IF(B218="", "", "missing: not provided")</f>
        <v>0</v>
      </c>
      <c r="D218" s="1">
        <f>IF(B218="", "", "weeks")</f>
        <v>0</v>
      </c>
      <c r="E218" s="1">
        <f>IF(B218="", "", "urban biome")</f>
        <v>0</v>
      </c>
      <c r="F218" s="1">
        <f>IF(B218="", "", "animal-associated habitat")</f>
        <v>0</v>
      </c>
      <c r="G218" s="1">
        <f>IF(B218="", "", "mouse")</f>
        <v>0</v>
      </c>
      <c r="H218" s="1">
        <f>IF(B218="", "", "Mus musculus")</f>
        <v>0</v>
      </c>
      <c r="I218" s="1">
        <f>IF(B218="", "", "10090")</f>
        <v>0</v>
      </c>
      <c r="J218" s="2">
        <f>IF(B218="", "", "missing: not provided")</f>
        <v>0</v>
      </c>
      <c r="K218" s="1">
        <f>IF(B218="", "", "g")</f>
        <v>0</v>
      </c>
    </row>
    <row r="219" spans="1:11">
      <c r="A219">
        <f>IF(COUNTBLANK(B219:K219)&lt;&gt;COLUMNS(B219:K219),218,"")</f>
        <v>0</v>
      </c>
      <c r="C219" s="2">
        <f>IF(B219="", "", "missing: not provided")</f>
        <v>0</v>
      </c>
      <c r="D219" s="1">
        <f>IF(B219="", "", "weeks")</f>
        <v>0</v>
      </c>
      <c r="E219" s="1">
        <f>IF(B219="", "", "urban biome")</f>
        <v>0</v>
      </c>
      <c r="F219" s="1">
        <f>IF(B219="", "", "animal-associated habitat")</f>
        <v>0</v>
      </c>
      <c r="G219" s="1">
        <f>IF(B219="", "", "mouse")</f>
        <v>0</v>
      </c>
      <c r="H219" s="1">
        <f>IF(B219="", "", "Mus musculus")</f>
        <v>0</v>
      </c>
      <c r="I219" s="1">
        <f>IF(B219="", "", "10090")</f>
        <v>0</v>
      </c>
      <c r="J219" s="2">
        <f>IF(B219="", "", "missing: not provided")</f>
        <v>0</v>
      </c>
      <c r="K219" s="1">
        <f>IF(B219="", "", "g")</f>
        <v>0</v>
      </c>
    </row>
    <row r="220" spans="1:11">
      <c r="A220">
        <f>IF(COUNTBLANK(B220:K220)&lt;&gt;COLUMNS(B220:K220),219,"")</f>
        <v>0</v>
      </c>
      <c r="C220" s="2">
        <f>IF(B220="", "", "missing: not provided")</f>
        <v>0</v>
      </c>
      <c r="D220" s="1">
        <f>IF(B220="", "", "weeks")</f>
        <v>0</v>
      </c>
      <c r="E220" s="1">
        <f>IF(B220="", "", "urban biome")</f>
        <v>0</v>
      </c>
      <c r="F220" s="1">
        <f>IF(B220="", "", "animal-associated habitat")</f>
        <v>0</v>
      </c>
      <c r="G220" s="1">
        <f>IF(B220="", "", "mouse")</f>
        <v>0</v>
      </c>
      <c r="H220" s="1">
        <f>IF(B220="", "", "Mus musculus")</f>
        <v>0</v>
      </c>
      <c r="I220" s="1">
        <f>IF(B220="", "", "10090")</f>
        <v>0</v>
      </c>
      <c r="J220" s="2">
        <f>IF(B220="", "", "missing: not provided")</f>
        <v>0</v>
      </c>
      <c r="K220" s="1">
        <f>IF(B220="", "", "g")</f>
        <v>0</v>
      </c>
    </row>
    <row r="221" spans="1:11">
      <c r="A221">
        <f>IF(COUNTBLANK(B221:K221)&lt;&gt;COLUMNS(B221:K221),220,"")</f>
        <v>0</v>
      </c>
      <c r="C221" s="2">
        <f>IF(B221="", "", "missing: not provided")</f>
        <v>0</v>
      </c>
      <c r="D221" s="1">
        <f>IF(B221="", "", "weeks")</f>
        <v>0</v>
      </c>
      <c r="E221" s="1">
        <f>IF(B221="", "", "urban biome")</f>
        <v>0</v>
      </c>
      <c r="F221" s="1">
        <f>IF(B221="", "", "animal-associated habitat")</f>
        <v>0</v>
      </c>
      <c r="G221" s="1">
        <f>IF(B221="", "", "mouse")</f>
        <v>0</v>
      </c>
      <c r="H221" s="1">
        <f>IF(B221="", "", "Mus musculus")</f>
        <v>0</v>
      </c>
      <c r="I221" s="1">
        <f>IF(B221="", "", "10090")</f>
        <v>0</v>
      </c>
      <c r="J221" s="2">
        <f>IF(B221="", "", "missing: not provided")</f>
        <v>0</v>
      </c>
      <c r="K221" s="1">
        <f>IF(B221="", "", "g")</f>
        <v>0</v>
      </c>
    </row>
    <row r="222" spans="1:11">
      <c r="A222">
        <f>IF(COUNTBLANK(B222:K222)&lt;&gt;COLUMNS(B222:K222),221,"")</f>
        <v>0</v>
      </c>
      <c r="C222" s="2">
        <f>IF(B222="", "", "missing: not provided")</f>
        <v>0</v>
      </c>
      <c r="D222" s="1">
        <f>IF(B222="", "", "weeks")</f>
        <v>0</v>
      </c>
      <c r="E222" s="1">
        <f>IF(B222="", "", "urban biome")</f>
        <v>0</v>
      </c>
      <c r="F222" s="1">
        <f>IF(B222="", "", "animal-associated habitat")</f>
        <v>0</v>
      </c>
      <c r="G222" s="1">
        <f>IF(B222="", "", "mouse")</f>
        <v>0</v>
      </c>
      <c r="H222" s="1">
        <f>IF(B222="", "", "Mus musculus")</f>
        <v>0</v>
      </c>
      <c r="I222" s="1">
        <f>IF(B222="", "", "10090")</f>
        <v>0</v>
      </c>
      <c r="J222" s="2">
        <f>IF(B222="", "", "missing: not provided")</f>
        <v>0</v>
      </c>
      <c r="K222" s="1">
        <f>IF(B222="", "", "g")</f>
        <v>0</v>
      </c>
    </row>
    <row r="223" spans="1:11">
      <c r="A223">
        <f>IF(COUNTBLANK(B223:K223)&lt;&gt;COLUMNS(B223:K223),222,"")</f>
        <v>0</v>
      </c>
      <c r="C223" s="2">
        <f>IF(B223="", "", "missing: not provided")</f>
        <v>0</v>
      </c>
      <c r="D223" s="1">
        <f>IF(B223="", "", "weeks")</f>
        <v>0</v>
      </c>
      <c r="E223" s="1">
        <f>IF(B223="", "", "urban biome")</f>
        <v>0</v>
      </c>
      <c r="F223" s="1">
        <f>IF(B223="", "", "animal-associated habitat")</f>
        <v>0</v>
      </c>
      <c r="G223" s="1">
        <f>IF(B223="", "", "mouse")</f>
        <v>0</v>
      </c>
      <c r="H223" s="1">
        <f>IF(B223="", "", "Mus musculus")</f>
        <v>0</v>
      </c>
      <c r="I223" s="1">
        <f>IF(B223="", "", "10090")</f>
        <v>0</v>
      </c>
      <c r="J223" s="2">
        <f>IF(B223="", "", "missing: not provided")</f>
        <v>0</v>
      </c>
      <c r="K223" s="1">
        <f>IF(B223="", "", "g")</f>
        <v>0</v>
      </c>
    </row>
    <row r="224" spans="1:11">
      <c r="A224">
        <f>IF(COUNTBLANK(B224:K224)&lt;&gt;COLUMNS(B224:K224),223,"")</f>
        <v>0</v>
      </c>
      <c r="C224" s="2">
        <f>IF(B224="", "", "missing: not provided")</f>
        <v>0</v>
      </c>
      <c r="D224" s="1">
        <f>IF(B224="", "", "weeks")</f>
        <v>0</v>
      </c>
      <c r="E224" s="1">
        <f>IF(B224="", "", "urban biome")</f>
        <v>0</v>
      </c>
      <c r="F224" s="1">
        <f>IF(B224="", "", "animal-associated habitat")</f>
        <v>0</v>
      </c>
      <c r="G224" s="1">
        <f>IF(B224="", "", "mouse")</f>
        <v>0</v>
      </c>
      <c r="H224" s="1">
        <f>IF(B224="", "", "Mus musculus")</f>
        <v>0</v>
      </c>
      <c r="I224" s="1">
        <f>IF(B224="", "", "10090")</f>
        <v>0</v>
      </c>
      <c r="J224" s="2">
        <f>IF(B224="", "", "missing: not provided")</f>
        <v>0</v>
      </c>
      <c r="K224" s="1">
        <f>IF(B224="", "", "g")</f>
        <v>0</v>
      </c>
    </row>
    <row r="225" spans="1:11">
      <c r="A225">
        <f>IF(COUNTBLANK(B225:K225)&lt;&gt;COLUMNS(B225:K225),224,"")</f>
        <v>0</v>
      </c>
      <c r="C225" s="2">
        <f>IF(B225="", "", "missing: not provided")</f>
        <v>0</v>
      </c>
      <c r="D225" s="1">
        <f>IF(B225="", "", "weeks")</f>
        <v>0</v>
      </c>
      <c r="E225" s="1">
        <f>IF(B225="", "", "urban biome")</f>
        <v>0</v>
      </c>
      <c r="F225" s="1">
        <f>IF(B225="", "", "animal-associated habitat")</f>
        <v>0</v>
      </c>
      <c r="G225" s="1">
        <f>IF(B225="", "", "mouse")</f>
        <v>0</v>
      </c>
      <c r="H225" s="1">
        <f>IF(B225="", "", "Mus musculus")</f>
        <v>0</v>
      </c>
      <c r="I225" s="1">
        <f>IF(B225="", "", "10090")</f>
        <v>0</v>
      </c>
      <c r="J225" s="2">
        <f>IF(B225="", "", "missing: not provided")</f>
        <v>0</v>
      </c>
      <c r="K225" s="1">
        <f>IF(B225="", "", "g")</f>
        <v>0</v>
      </c>
    </row>
    <row r="226" spans="1:11">
      <c r="A226">
        <f>IF(COUNTBLANK(B226:K226)&lt;&gt;COLUMNS(B226:K226),225,"")</f>
        <v>0</v>
      </c>
      <c r="C226" s="2">
        <f>IF(B226="", "", "missing: not provided")</f>
        <v>0</v>
      </c>
      <c r="D226" s="1">
        <f>IF(B226="", "", "weeks")</f>
        <v>0</v>
      </c>
      <c r="E226" s="1">
        <f>IF(B226="", "", "urban biome")</f>
        <v>0</v>
      </c>
      <c r="F226" s="1">
        <f>IF(B226="", "", "animal-associated habitat")</f>
        <v>0</v>
      </c>
      <c r="G226" s="1">
        <f>IF(B226="", "", "mouse")</f>
        <v>0</v>
      </c>
      <c r="H226" s="1">
        <f>IF(B226="", "", "Mus musculus")</f>
        <v>0</v>
      </c>
      <c r="I226" s="1">
        <f>IF(B226="", "", "10090")</f>
        <v>0</v>
      </c>
      <c r="J226" s="2">
        <f>IF(B226="", "", "missing: not provided")</f>
        <v>0</v>
      </c>
      <c r="K226" s="1">
        <f>IF(B226="", "", "g")</f>
        <v>0</v>
      </c>
    </row>
    <row r="227" spans="1:11">
      <c r="A227">
        <f>IF(COUNTBLANK(B227:K227)&lt;&gt;COLUMNS(B227:K227),226,"")</f>
        <v>0</v>
      </c>
      <c r="C227" s="2">
        <f>IF(B227="", "", "missing: not provided")</f>
        <v>0</v>
      </c>
      <c r="D227" s="1">
        <f>IF(B227="", "", "weeks")</f>
        <v>0</v>
      </c>
      <c r="E227" s="1">
        <f>IF(B227="", "", "urban biome")</f>
        <v>0</v>
      </c>
      <c r="F227" s="1">
        <f>IF(B227="", "", "animal-associated habitat")</f>
        <v>0</v>
      </c>
      <c r="G227" s="1">
        <f>IF(B227="", "", "mouse")</f>
        <v>0</v>
      </c>
      <c r="H227" s="1">
        <f>IF(B227="", "", "Mus musculus")</f>
        <v>0</v>
      </c>
      <c r="I227" s="1">
        <f>IF(B227="", "", "10090")</f>
        <v>0</v>
      </c>
      <c r="J227" s="2">
        <f>IF(B227="", "", "missing: not provided")</f>
        <v>0</v>
      </c>
      <c r="K227" s="1">
        <f>IF(B227="", "", "g")</f>
        <v>0</v>
      </c>
    </row>
    <row r="228" spans="1:11">
      <c r="A228">
        <f>IF(COUNTBLANK(B228:K228)&lt;&gt;COLUMNS(B228:K228),227,"")</f>
        <v>0</v>
      </c>
      <c r="C228" s="2">
        <f>IF(B228="", "", "missing: not provided")</f>
        <v>0</v>
      </c>
      <c r="D228" s="1">
        <f>IF(B228="", "", "weeks")</f>
        <v>0</v>
      </c>
      <c r="E228" s="1">
        <f>IF(B228="", "", "urban biome")</f>
        <v>0</v>
      </c>
      <c r="F228" s="1">
        <f>IF(B228="", "", "animal-associated habitat")</f>
        <v>0</v>
      </c>
      <c r="G228" s="1">
        <f>IF(B228="", "", "mouse")</f>
        <v>0</v>
      </c>
      <c r="H228" s="1">
        <f>IF(B228="", "", "Mus musculus")</f>
        <v>0</v>
      </c>
      <c r="I228" s="1">
        <f>IF(B228="", "", "10090")</f>
        <v>0</v>
      </c>
      <c r="J228" s="2">
        <f>IF(B228="", "", "missing: not provided")</f>
        <v>0</v>
      </c>
      <c r="K228" s="1">
        <f>IF(B228="", "", "g")</f>
        <v>0</v>
      </c>
    </row>
    <row r="229" spans="1:11">
      <c r="A229">
        <f>IF(COUNTBLANK(B229:K229)&lt;&gt;COLUMNS(B229:K229),228,"")</f>
        <v>0</v>
      </c>
      <c r="C229" s="2">
        <f>IF(B229="", "", "missing: not provided")</f>
        <v>0</v>
      </c>
      <c r="D229" s="1">
        <f>IF(B229="", "", "weeks")</f>
        <v>0</v>
      </c>
      <c r="E229" s="1">
        <f>IF(B229="", "", "urban biome")</f>
        <v>0</v>
      </c>
      <c r="F229" s="1">
        <f>IF(B229="", "", "animal-associated habitat")</f>
        <v>0</v>
      </c>
      <c r="G229" s="1">
        <f>IF(B229="", "", "mouse")</f>
        <v>0</v>
      </c>
      <c r="H229" s="1">
        <f>IF(B229="", "", "Mus musculus")</f>
        <v>0</v>
      </c>
      <c r="I229" s="1">
        <f>IF(B229="", "", "10090")</f>
        <v>0</v>
      </c>
      <c r="J229" s="2">
        <f>IF(B229="", "", "missing: not provided")</f>
        <v>0</v>
      </c>
      <c r="K229" s="1">
        <f>IF(B229="", "", "g")</f>
        <v>0</v>
      </c>
    </row>
    <row r="230" spans="1:11">
      <c r="A230">
        <f>IF(COUNTBLANK(B230:K230)&lt;&gt;COLUMNS(B230:K230),229,"")</f>
        <v>0</v>
      </c>
      <c r="C230" s="2">
        <f>IF(B230="", "", "missing: not provided")</f>
        <v>0</v>
      </c>
      <c r="D230" s="1">
        <f>IF(B230="", "", "weeks")</f>
        <v>0</v>
      </c>
      <c r="E230" s="1">
        <f>IF(B230="", "", "urban biome")</f>
        <v>0</v>
      </c>
      <c r="F230" s="1">
        <f>IF(B230="", "", "animal-associated habitat")</f>
        <v>0</v>
      </c>
      <c r="G230" s="1">
        <f>IF(B230="", "", "mouse")</f>
        <v>0</v>
      </c>
      <c r="H230" s="1">
        <f>IF(B230="", "", "Mus musculus")</f>
        <v>0</v>
      </c>
      <c r="I230" s="1">
        <f>IF(B230="", "", "10090")</f>
        <v>0</v>
      </c>
      <c r="J230" s="2">
        <f>IF(B230="", "", "missing: not provided")</f>
        <v>0</v>
      </c>
      <c r="K230" s="1">
        <f>IF(B230="", "", "g")</f>
        <v>0</v>
      </c>
    </row>
    <row r="231" spans="1:11">
      <c r="A231">
        <f>IF(COUNTBLANK(B231:K231)&lt;&gt;COLUMNS(B231:K231),230,"")</f>
        <v>0</v>
      </c>
      <c r="C231" s="2">
        <f>IF(B231="", "", "missing: not provided")</f>
        <v>0</v>
      </c>
      <c r="D231" s="1">
        <f>IF(B231="", "", "weeks")</f>
        <v>0</v>
      </c>
      <c r="E231" s="1">
        <f>IF(B231="", "", "urban biome")</f>
        <v>0</v>
      </c>
      <c r="F231" s="1">
        <f>IF(B231="", "", "animal-associated habitat")</f>
        <v>0</v>
      </c>
      <c r="G231" s="1">
        <f>IF(B231="", "", "mouse")</f>
        <v>0</v>
      </c>
      <c r="H231" s="1">
        <f>IF(B231="", "", "Mus musculus")</f>
        <v>0</v>
      </c>
      <c r="I231" s="1">
        <f>IF(B231="", "", "10090")</f>
        <v>0</v>
      </c>
      <c r="J231" s="2">
        <f>IF(B231="", "", "missing: not provided")</f>
        <v>0</v>
      </c>
      <c r="K231" s="1">
        <f>IF(B231="", "", "g")</f>
        <v>0</v>
      </c>
    </row>
    <row r="232" spans="1:11">
      <c r="A232">
        <f>IF(COUNTBLANK(B232:K232)&lt;&gt;COLUMNS(B232:K232),231,"")</f>
        <v>0</v>
      </c>
      <c r="C232" s="2">
        <f>IF(B232="", "", "missing: not provided")</f>
        <v>0</v>
      </c>
      <c r="D232" s="1">
        <f>IF(B232="", "", "weeks")</f>
        <v>0</v>
      </c>
      <c r="E232" s="1">
        <f>IF(B232="", "", "urban biome")</f>
        <v>0</v>
      </c>
      <c r="F232" s="1">
        <f>IF(B232="", "", "animal-associated habitat")</f>
        <v>0</v>
      </c>
      <c r="G232" s="1">
        <f>IF(B232="", "", "mouse")</f>
        <v>0</v>
      </c>
      <c r="H232" s="1">
        <f>IF(B232="", "", "Mus musculus")</f>
        <v>0</v>
      </c>
      <c r="I232" s="1">
        <f>IF(B232="", "", "10090")</f>
        <v>0</v>
      </c>
      <c r="J232" s="2">
        <f>IF(B232="", "", "missing: not provided")</f>
        <v>0</v>
      </c>
      <c r="K232" s="1">
        <f>IF(B232="", "", "g")</f>
        <v>0</v>
      </c>
    </row>
    <row r="233" spans="1:11">
      <c r="A233">
        <f>IF(COUNTBLANK(B233:K233)&lt;&gt;COLUMNS(B233:K233),232,"")</f>
        <v>0</v>
      </c>
      <c r="C233" s="2">
        <f>IF(B233="", "", "missing: not provided")</f>
        <v>0</v>
      </c>
      <c r="D233" s="1">
        <f>IF(B233="", "", "weeks")</f>
        <v>0</v>
      </c>
      <c r="E233" s="1">
        <f>IF(B233="", "", "urban biome")</f>
        <v>0</v>
      </c>
      <c r="F233" s="1">
        <f>IF(B233="", "", "animal-associated habitat")</f>
        <v>0</v>
      </c>
      <c r="G233" s="1">
        <f>IF(B233="", "", "mouse")</f>
        <v>0</v>
      </c>
      <c r="H233" s="1">
        <f>IF(B233="", "", "Mus musculus")</f>
        <v>0</v>
      </c>
      <c r="I233" s="1">
        <f>IF(B233="", "", "10090")</f>
        <v>0</v>
      </c>
      <c r="J233" s="2">
        <f>IF(B233="", "", "missing: not provided")</f>
        <v>0</v>
      </c>
      <c r="K233" s="1">
        <f>IF(B233="", "", "g")</f>
        <v>0</v>
      </c>
    </row>
    <row r="234" spans="1:11">
      <c r="A234">
        <f>IF(COUNTBLANK(B234:K234)&lt;&gt;COLUMNS(B234:K234),233,"")</f>
        <v>0</v>
      </c>
      <c r="C234" s="2">
        <f>IF(B234="", "", "missing: not provided")</f>
        <v>0</v>
      </c>
      <c r="D234" s="1">
        <f>IF(B234="", "", "weeks")</f>
        <v>0</v>
      </c>
      <c r="E234" s="1">
        <f>IF(B234="", "", "urban biome")</f>
        <v>0</v>
      </c>
      <c r="F234" s="1">
        <f>IF(B234="", "", "animal-associated habitat")</f>
        <v>0</v>
      </c>
      <c r="G234" s="1">
        <f>IF(B234="", "", "mouse")</f>
        <v>0</v>
      </c>
      <c r="H234" s="1">
        <f>IF(B234="", "", "Mus musculus")</f>
        <v>0</v>
      </c>
      <c r="I234" s="1">
        <f>IF(B234="", "", "10090")</f>
        <v>0</v>
      </c>
      <c r="J234" s="2">
        <f>IF(B234="", "", "missing: not provided")</f>
        <v>0</v>
      </c>
      <c r="K234" s="1">
        <f>IF(B234="", "", "g")</f>
        <v>0</v>
      </c>
    </row>
    <row r="235" spans="1:11">
      <c r="A235">
        <f>IF(COUNTBLANK(B235:K235)&lt;&gt;COLUMNS(B235:K235),234,"")</f>
        <v>0</v>
      </c>
      <c r="C235" s="2">
        <f>IF(B235="", "", "missing: not provided")</f>
        <v>0</v>
      </c>
      <c r="D235" s="1">
        <f>IF(B235="", "", "weeks")</f>
        <v>0</v>
      </c>
      <c r="E235" s="1">
        <f>IF(B235="", "", "urban biome")</f>
        <v>0</v>
      </c>
      <c r="F235" s="1">
        <f>IF(B235="", "", "animal-associated habitat")</f>
        <v>0</v>
      </c>
      <c r="G235" s="1">
        <f>IF(B235="", "", "mouse")</f>
        <v>0</v>
      </c>
      <c r="H235" s="1">
        <f>IF(B235="", "", "Mus musculus")</f>
        <v>0</v>
      </c>
      <c r="I235" s="1">
        <f>IF(B235="", "", "10090")</f>
        <v>0</v>
      </c>
      <c r="J235" s="2">
        <f>IF(B235="", "", "missing: not provided")</f>
        <v>0</v>
      </c>
      <c r="K235" s="1">
        <f>IF(B235="", "", "g")</f>
        <v>0</v>
      </c>
    </row>
    <row r="236" spans="1:11">
      <c r="A236">
        <f>IF(COUNTBLANK(B236:K236)&lt;&gt;COLUMNS(B236:K236),235,"")</f>
        <v>0</v>
      </c>
      <c r="C236" s="2">
        <f>IF(B236="", "", "missing: not provided")</f>
        <v>0</v>
      </c>
      <c r="D236" s="1">
        <f>IF(B236="", "", "weeks")</f>
        <v>0</v>
      </c>
      <c r="E236" s="1">
        <f>IF(B236="", "", "urban biome")</f>
        <v>0</v>
      </c>
      <c r="F236" s="1">
        <f>IF(B236="", "", "animal-associated habitat")</f>
        <v>0</v>
      </c>
      <c r="G236" s="1">
        <f>IF(B236="", "", "mouse")</f>
        <v>0</v>
      </c>
      <c r="H236" s="1">
        <f>IF(B236="", "", "Mus musculus")</f>
        <v>0</v>
      </c>
      <c r="I236" s="1">
        <f>IF(B236="", "", "10090")</f>
        <v>0</v>
      </c>
      <c r="J236" s="2">
        <f>IF(B236="", "", "missing: not provided")</f>
        <v>0</v>
      </c>
      <c r="K236" s="1">
        <f>IF(B236="", "", "g")</f>
        <v>0</v>
      </c>
    </row>
    <row r="237" spans="1:11">
      <c r="A237">
        <f>IF(COUNTBLANK(B237:K237)&lt;&gt;COLUMNS(B237:K237),236,"")</f>
        <v>0</v>
      </c>
      <c r="C237" s="2">
        <f>IF(B237="", "", "missing: not provided")</f>
        <v>0</v>
      </c>
      <c r="D237" s="1">
        <f>IF(B237="", "", "weeks")</f>
        <v>0</v>
      </c>
      <c r="E237" s="1">
        <f>IF(B237="", "", "urban biome")</f>
        <v>0</v>
      </c>
      <c r="F237" s="1">
        <f>IF(B237="", "", "animal-associated habitat")</f>
        <v>0</v>
      </c>
      <c r="G237" s="1">
        <f>IF(B237="", "", "mouse")</f>
        <v>0</v>
      </c>
      <c r="H237" s="1">
        <f>IF(B237="", "", "Mus musculus")</f>
        <v>0</v>
      </c>
      <c r="I237" s="1">
        <f>IF(B237="", "", "10090")</f>
        <v>0</v>
      </c>
      <c r="J237" s="2">
        <f>IF(B237="", "", "missing: not provided")</f>
        <v>0</v>
      </c>
      <c r="K237" s="1">
        <f>IF(B237="", "", "g")</f>
        <v>0</v>
      </c>
    </row>
    <row r="238" spans="1:11">
      <c r="A238">
        <f>IF(COUNTBLANK(B238:K238)&lt;&gt;COLUMNS(B238:K238),237,"")</f>
        <v>0</v>
      </c>
      <c r="C238" s="2">
        <f>IF(B238="", "", "missing: not provided")</f>
        <v>0</v>
      </c>
      <c r="D238" s="1">
        <f>IF(B238="", "", "weeks")</f>
        <v>0</v>
      </c>
      <c r="E238" s="1">
        <f>IF(B238="", "", "urban biome")</f>
        <v>0</v>
      </c>
      <c r="F238" s="1">
        <f>IF(B238="", "", "animal-associated habitat")</f>
        <v>0</v>
      </c>
      <c r="G238" s="1">
        <f>IF(B238="", "", "mouse")</f>
        <v>0</v>
      </c>
      <c r="H238" s="1">
        <f>IF(B238="", "", "Mus musculus")</f>
        <v>0</v>
      </c>
      <c r="I238" s="1">
        <f>IF(B238="", "", "10090")</f>
        <v>0</v>
      </c>
      <c r="J238" s="2">
        <f>IF(B238="", "", "missing: not provided")</f>
        <v>0</v>
      </c>
      <c r="K238" s="1">
        <f>IF(B238="", "", "g")</f>
        <v>0</v>
      </c>
    </row>
    <row r="239" spans="1:11">
      <c r="A239">
        <f>IF(COUNTBLANK(B239:K239)&lt;&gt;COLUMNS(B239:K239),238,"")</f>
        <v>0</v>
      </c>
      <c r="C239" s="2">
        <f>IF(B239="", "", "missing: not provided")</f>
        <v>0</v>
      </c>
      <c r="D239" s="1">
        <f>IF(B239="", "", "weeks")</f>
        <v>0</v>
      </c>
      <c r="E239" s="1">
        <f>IF(B239="", "", "urban biome")</f>
        <v>0</v>
      </c>
      <c r="F239" s="1">
        <f>IF(B239="", "", "animal-associated habitat")</f>
        <v>0</v>
      </c>
      <c r="G239" s="1">
        <f>IF(B239="", "", "mouse")</f>
        <v>0</v>
      </c>
      <c r="H239" s="1">
        <f>IF(B239="", "", "Mus musculus")</f>
        <v>0</v>
      </c>
      <c r="I239" s="1">
        <f>IF(B239="", "", "10090")</f>
        <v>0</v>
      </c>
      <c r="J239" s="2">
        <f>IF(B239="", "", "missing: not provided")</f>
        <v>0</v>
      </c>
      <c r="K239" s="1">
        <f>IF(B239="", "", "g")</f>
        <v>0</v>
      </c>
    </row>
    <row r="240" spans="1:11">
      <c r="A240">
        <f>IF(COUNTBLANK(B240:K240)&lt;&gt;COLUMNS(B240:K240),239,"")</f>
        <v>0</v>
      </c>
      <c r="C240" s="2">
        <f>IF(B240="", "", "missing: not provided")</f>
        <v>0</v>
      </c>
      <c r="D240" s="1">
        <f>IF(B240="", "", "weeks")</f>
        <v>0</v>
      </c>
      <c r="E240" s="1">
        <f>IF(B240="", "", "urban biome")</f>
        <v>0</v>
      </c>
      <c r="F240" s="1">
        <f>IF(B240="", "", "animal-associated habitat")</f>
        <v>0</v>
      </c>
      <c r="G240" s="1">
        <f>IF(B240="", "", "mouse")</f>
        <v>0</v>
      </c>
      <c r="H240" s="1">
        <f>IF(B240="", "", "Mus musculus")</f>
        <v>0</v>
      </c>
      <c r="I240" s="1">
        <f>IF(B240="", "", "10090")</f>
        <v>0</v>
      </c>
      <c r="J240" s="2">
        <f>IF(B240="", "", "missing: not provided")</f>
        <v>0</v>
      </c>
      <c r="K240" s="1">
        <f>IF(B240="", "", "g")</f>
        <v>0</v>
      </c>
    </row>
    <row r="241" spans="1:11">
      <c r="A241">
        <f>IF(COUNTBLANK(B241:K241)&lt;&gt;COLUMNS(B241:K241),240,"")</f>
        <v>0</v>
      </c>
      <c r="C241" s="2">
        <f>IF(B241="", "", "missing: not provided")</f>
        <v>0</v>
      </c>
      <c r="D241" s="1">
        <f>IF(B241="", "", "weeks")</f>
        <v>0</v>
      </c>
      <c r="E241" s="1">
        <f>IF(B241="", "", "urban biome")</f>
        <v>0</v>
      </c>
      <c r="F241" s="1">
        <f>IF(B241="", "", "animal-associated habitat")</f>
        <v>0</v>
      </c>
      <c r="G241" s="1">
        <f>IF(B241="", "", "mouse")</f>
        <v>0</v>
      </c>
      <c r="H241" s="1">
        <f>IF(B241="", "", "Mus musculus")</f>
        <v>0</v>
      </c>
      <c r="I241" s="1">
        <f>IF(B241="", "", "10090")</f>
        <v>0</v>
      </c>
      <c r="J241" s="2">
        <f>IF(B241="", "", "missing: not provided")</f>
        <v>0</v>
      </c>
      <c r="K241" s="1">
        <f>IF(B241="", "", "g")</f>
        <v>0</v>
      </c>
    </row>
    <row r="242" spans="1:11">
      <c r="A242">
        <f>IF(COUNTBLANK(B242:K242)&lt;&gt;COLUMNS(B242:K242),241,"")</f>
        <v>0</v>
      </c>
      <c r="C242" s="2">
        <f>IF(B242="", "", "missing: not provided")</f>
        <v>0</v>
      </c>
      <c r="D242" s="1">
        <f>IF(B242="", "", "weeks")</f>
        <v>0</v>
      </c>
      <c r="E242" s="1">
        <f>IF(B242="", "", "urban biome")</f>
        <v>0</v>
      </c>
      <c r="F242" s="1">
        <f>IF(B242="", "", "animal-associated habitat")</f>
        <v>0</v>
      </c>
      <c r="G242" s="1">
        <f>IF(B242="", "", "mouse")</f>
        <v>0</v>
      </c>
      <c r="H242" s="1">
        <f>IF(B242="", "", "Mus musculus")</f>
        <v>0</v>
      </c>
      <c r="I242" s="1">
        <f>IF(B242="", "", "10090")</f>
        <v>0</v>
      </c>
      <c r="J242" s="2">
        <f>IF(B242="", "", "missing: not provided")</f>
        <v>0</v>
      </c>
      <c r="K242" s="1">
        <f>IF(B242="", "", "g")</f>
        <v>0</v>
      </c>
    </row>
    <row r="243" spans="1:11">
      <c r="A243">
        <f>IF(COUNTBLANK(B243:K243)&lt;&gt;COLUMNS(B243:K243),242,"")</f>
        <v>0</v>
      </c>
      <c r="C243" s="2">
        <f>IF(B243="", "", "missing: not provided")</f>
        <v>0</v>
      </c>
      <c r="D243" s="1">
        <f>IF(B243="", "", "weeks")</f>
        <v>0</v>
      </c>
      <c r="E243" s="1">
        <f>IF(B243="", "", "urban biome")</f>
        <v>0</v>
      </c>
      <c r="F243" s="1">
        <f>IF(B243="", "", "animal-associated habitat")</f>
        <v>0</v>
      </c>
      <c r="G243" s="1">
        <f>IF(B243="", "", "mouse")</f>
        <v>0</v>
      </c>
      <c r="H243" s="1">
        <f>IF(B243="", "", "Mus musculus")</f>
        <v>0</v>
      </c>
      <c r="I243" s="1">
        <f>IF(B243="", "", "10090")</f>
        <v>0</v>
      </c>
      <c r="J243" s="2">
        <f>IF(B243="", "", "missing: not provided")</f>
        <v>0</v>
      </c>
      <c r="K243" s="1">
        <f>IF(B243="", "", "g")</f>
        <v>0</v>
      </c>
    </row>
    <row r="244" spans="1:11">
      <c r="A244">
        <f>IF(COUNTBLANK(B244:K244)&lt;&gt;COLUMNS(B244:K244),243,"")</f>
        <v>0</v>
      </c>
      <c r="C244" s="2">
        <f>IF(B244="", "", "missing: not provided")</f>
        <v>0</v>
      </c>
      <c r="D244" s="1">
        <f>IF(B244="", "", "weeks")</f>
        <v>0</v>
      </c>
      <c r="E244" s="1">
        <f>IF(B244="", "", "urban biome")</f>
        <v>0</v>
      </c>
      <c r="F244" s="1">
        <f>IF(B244="", "", "animal-associated habitat")</f>
        <v>0</v>
      </c>
      <c r="G244" s="1">
        <f>IF(B244="", "", "mouse")</f>
        <v>0</v>
      </c>
      <c r="H244" s="1">
        <f>IF(B244="", "", "Mus musculus")</f>
        <v>0</v>
      </c>
      <c r="I244" s="1">
        <f>IF(B244="", "", "10090")</f>
        <v>0</v>
      </c>
      <c r="J244" s="2">
        <f>IF(B244="", "", "missing: not provided")</f>
        <v>0</v>
      </c>
      <c r="K244" s="1">
        <f>IF(B244="", "", "g")</f>
        <v>0</v>
      </c>
    </row>
    <row r="245" spans="1:11">
      <c r="A245">
        <f>IF(COUNTBLANK(B245:K245)&lt;&gt;COLUMNS(B245:K245),244,"")</f>
        <v>0</v>
      </c>
      <c r="C245" s="2">
        <f>IF(B245="", "", "missing: not provided")</f>
        <v>0</v>
      </c>
      <c r="D245" s="1">
        <f>IF(B245="", "", "weeks")</f>
        <v>0</v>
      </c>
      <c r="E245" s="1">
        <f>IF(B245="", "", "urban biome")</f>
        <v>0</v>
      </c>
      <c r="F245" s="1">
        <f>IF(B245="", "", "animal-associated habitat")</f>
        <v>0</v>
      </c>
      <c r="G245" s="1">
        <f>IF(B245="", "", "mouse")</f>
        <v>0</v>
      </c>
      <c r="H245" s="1">
        <f>IF(B245="", "", "Mus musculus")</f>
        <v>0</v>
      </c>
      <c r="I245" s="1">
        <f>IF(B245="", "", "10090")</f>
        <v>0</v>
      </c>
      <c r="J245" s="2">
        <f>IF(B245="", "", "missing: not provided")</f>
        <v>0</v>
      </c>
      <c r="K245" s="1">
        <f>IF(B245="", "", "g")</f>
        <v>0</v>
      </c>
    </row>
    <row r="246" spans="1:11">
      <c r="A246">
        <f>IF(COUNTBLANK(B246:K246)&lt;&gt;COLUMNS(B246:K246),245,"")</f>
        <v>0</v>
      </c>
      <c r="C246" s="2">
        <f>IF(B246="", "", "missing: not provided")</f>
        <v>0</v>
      </c>
      <c r="D246" s="1">
        <f>IF(B246="", "", "weeks")</f>
        <v>0</v>
      </c>
      <c r="E246" s="1">
        <f>IF(B246="", "", "urban biome")</f>
        <v>0</v>
      </c>
      <c r="F246" s="1">
        <f>IF(B246="", "", "animal-associated habitat")</f>
        <v>0</v>
      </c>
      <c r="G246" s="1">
        <f>IF(B246="", "", "mouse")</f>
        <v>0</v>
      </c>
      <c r="H246" s="1">
        <f>IF(B246="", "", "Mus musculus")</f>
        <v>0</v>
      </c>
      <c r="I246" s="1">
        <f>IF(B246="", "", "10090")</f>
        <v>0</v>
      </c>
      <c r="J246" s="2">
        <f>IF(B246="", "", "missing: not provided")</f>
        <v>0</v>
      </c>
      <c r="K246" s="1">
        <f>IF(B246="", "", "g")</f>
        <v>0</v>
      </c>
    </row>
    <row r="247" spans="1:11">
      <c r="A247">
        <f>IF(COUNTBLANK(B247:K247)&lt;&gt;COLUMNS(B247:K247),246,"")</f>
        <v>0</v>
      </c>
      <c r="C247" s="2">
        <f>IF(B247="", "", "missing: not provided")</f>
        <v>0</v>
      </c>
      <c r="D247" s="1">
        <f>IF(B247="", "", "weeks")</f>
        <v>0</v>
      </c>
      <c r="E247" s="1">
        <f>IF(B247="", "", "urban biome")</f>
        <v>0</v>
      </c>
      <c r="F247" s="1">
        <f>IF(B247="", "", "animal-associated habitat")</f>
        <v>0</v>
      </c>
      <c r="G247" s="1">
        <f>IF(B247="", "", "mouse")</f>
        <v>0</v>
      </c>
      <c r="H247" s="1">
        <f>IF(B247="", "", "Mus musculus")</f>
        <v>0</v>
      </c>
      <c r="I247" s="1">
        <f>IF(B247="", "", "10090")</f>
        <v>0</v>
      </c>
      <c r="J247" s="2">
        <f>IF(B247="", "", "missing: not provided")</f>
        <v>0</v>
      </c>
      <c r="K247" s="1">
        <f>IF(B247="", "", "g")</f>
        <v>0</v>
      </c>
    </row>
    <row r="248" spans="1:11">
      <c r="A248">
        <f>IF(COUNTBLANK(B248:K248)&lt;&gt;COLUMNS(B248:K248),247,"")</f>
        <v>0</v>
      </c>
      <c r="C248" s="2">
        <f>IF(B248="", "", "missing: not provided")</f>
        <v>0</v>
      </c>
      <c r="D248" s="1">
        <f>IF(B248="", "", "weeks")</f>
        <v>0</v>
      </c>
      <c r="E248" s="1">
        <f>IF(B248="", "", "urban biome")</f>
        <v>0</v>
      </c>
      <c r="F248" s="1">
        <f>IF(B248="", "", "animal-associated habitat")</f>
        <v>0</v>
      </c>
      <c r="G248" s="1">
        <f>IF(B248="", "", "mouse")</f>
        <v>0</v>
      </c>
      <c r="H248" s="1">
        <f>IF(B248="", "", "Mus musculus")</f>
        <v>0</v>
      </c>
      <c r="I248" s="1">
        <f>IF(B248="", "", "10090")</f>
        <v>0</v>
      </c>
      <c r="J248" s="2">
        <f>IF(B248="", "", "missing: not provided")</f>
        <v>0</v>
      </c>
      <c r="K248" s="1">
        <f>IF(B248="", "", "g")</f>
        <v>0</v>
      </c>
    </row>
    <row r="249" spans="1:11">
      <c r="A249">
        <f>IF(COUNTBLANK(B249:K249)&lt;&gt;COLUMNS(B249:K249),248,"")</f>
        <v>0</v>
      </c>
      <c r="C249" s="2">
        <f>IF(B249="", "", "missing: not provided")</f>
        <v>0</v>
      </c>
      <c r="D249" s="1">
        <f>IF(B249="", "", "weeks")</f>
        <v>0</v>
      </c>
      <c r="E249" s="1">
        <f>IF(B249="", "", "urban biome")</f>
        <v>0</v>
      </c>
      <c r="F249" s="1">
        <f>IF(B249="", "", "animal-associated habitat")</f>
        <v>0</v>
      </c>
      <c r="G249" s="1">
        <f>IF(B249="", "", "mouse")</f>
        <v>0</v>
      </c>
      <c r="H249" s="1">
        <f>IF(B249="", "", "Mus musculus")</f>
        <v>0</v>
      </c>
      <c r="I249" s="1">
        <f>IF(B249="", "", "10090")</f>
        <v>0</v>
      </c>
      <c r="J249" s="2">
        <f>IF(B249="", "", "missing: not provided")</f>
        <v>0</v>
      </c>
      <c r="K249" s="1">
        <f>IF(B249="", "", "g")</f>
        <v>0</v>
      </c>
    </row>
    <row r="250" spans="1:11">
      <c r="A250">
        <f>IF(COUNTBLANK(B250:K250)&lt;&gt;COLUMNS(B250:K250),249,"")</f>
        <v>0</v>
      </c>
      <c r="C250" s="2">
        <f>IF(B250="", "", "missing: not provided")</f>
        <v>0</v>
      </c>
      <c r="D250" s="1">
        <f>IF(B250="", "", "weeks")</f>
        <v>0</v>
      </c>
      <c r="E250" s="1">
        <f>IF(B250="", "", "urban biome")</f>
        <v>0</v>
      </c>
      <c r="F250" s="1">
        <f>IF(B250="", "", "animal-associated habitat")</f>
        <v>0</v>
      </c>
      <c r="G250" s="1">
        <f>IF(B250="", "", "mouse")</f>
        <v>0</v>
      </c>
      <c r="H250" s="1">
        <f>IF(B250="", "", "Mus musculus")</f>
        <v>0</v>
      </c>
      <c r="I250" s="1">
        <f>IF(B250="", "", "10090")</f>
        <v>0</v>
      </c>
      <c r="J250" s="2">
        <f>IF(B250="", "", "missing: not provided")</f>
        <v>0</v>
      </c>
      <c r="K250" s="1">
        <f>IF(B250="", "", "g")</f>
        <v>0</v>
      </c>
    </row>
    <row r="251" spans="1:11">
      <c r="A251">
        <f>IF(COUNTBLANK(B251:K251)&lt;&gt;COLUMNS(B251:K251),250,"")</f>
        <v>0</v>
      </c>
      <c r="C251" s="2">
        <f>IF(B251="", "", "missing: not provided")</f>
        <v>0</v>
      </c>
      <c r="D251" s="1">
        <f>IF(B251="", "", "weeks")</f>
        <v>0</v>
      </c>
      <c r="E251" s="1">
        <f>IF(B251="", "", "urban biome")</f>
        <v>0</v>
      </c>
      <c r="F251" s="1">
        <f>IF(B251="", "", "animal-associated habitat")</f>
        <v>0</v>
      </c>
      <c r="G251" s="1">
        <f>IF(B251="", "", "mouse")</f>
        <v>0</v>
      </c>
      <c r="H251" s="1">
        <f>IF(B251="", "", "Mus musculus")</f>
        <v>0</v>
      </c>
      <c r="I251" s="1">
        <f>IF(B251="", "", "10090")</f>
        <v>0</v>
      </c>
      <c r="J251" s="2">
        <f>IF(B251="", "", "missing: not provided")</f>
        <v>0</v>
      </c>
      <c r="K251" s="1">
        <f>IF(B251="", "", "g")</f>
        <v>0</v>
      </c>
    </row>
    <row r="252" spans="1:11">
      <c r="A252">
        <f>IF(COUNTBLANK(B252:K252)&lt;&gt;COLUMNS(B252:K252),251,"")</f>
        <v>0</v>
      </c>
      <c r="C252" s="2">
        <f>IF(B252="", "", "missing: not provided")</f>
        <v>0</v>
      </c>
      <c r="D252" s="1">
        <f>IF(B252="", "", "weeks")</f>
        <v>0</v>
      </c>
      <c r="E252" s="1">
        <f>IF(B252="", "", "urban biome")</f>
        <v>0</v>
      </c>
      <c r="F252" s="1">
        <f>IF(B252="", "", "animal-associated habitat")</f>
        <v>0</v>
      </c>
      <c r="G252" s="1">
        <f>IF(B252="", "", "mouse")</f>
        <v>0</v>
      </c>
      <c r="H252" s="1">
        <f>IF(B252="", "", "Mus musculus")</f>
        <v>0</v>
      </c>
      <c r="I252" s="1">
        <f>IF(B252="", "", "10090")</f>
        <v>0</v>
      </c>
      <c r="J252" s="2">
        <f>IF(B252="", "", "missing: not provided")</f>
        <v>0</v>
      </c>
      <c r="K252" s="1">
        <f>IF(B252="", "", "g")</f>
        <v>0</v>
      </c>
    </row>
    <row r="253" spans="1:11">
      <c r="A253">
        <f>IF(COUNTBLANK(B253:K253)&lt;&gt;COLUMNS(B253:K253),252,"")</f>
        <v>0</v>
      </c>
      <c r="C253" s="2">
        <f>IF(B253="", "", "missing: not provided")</f>
        <v>0</v>
      </c>
      <c r="D253" s="1">
        <f>IF(B253="", "", "weeks")</f>
        <v>0</v>
      </c>
      <c r="E253" s="1">
        <f>IF(B253="", "", "urban biome")</f>
        <v>0</v>
      </c>
      <c r="F253" s="1">
        <f>IF(B253="", "", "animal-associated habitat")</f>
        <v>0</v>
      </c>
      <c r="G253" s="1">
        <f>IF(B253="", "", "mouse")</f>
        <v>0</v>
      </c>
      <c r="H253" s="1">
        <f>IF(B253="", "", "Mus musculus")</f>
        <v>0</v>
      </c>
      <c r="I253" s="1">
        <f>IF(B253="", "", "10090")</f>
        <v>0</v>
      </c>
      <c r="J253" s="2">
        <f>IF(B253="", "", "missing: not provided")</f>
        <v>0</v>
      </c>
      <c r="K253" s="1">
        <f>IF(B253="", "", "g")</f>
        <v>0</v>
      </c>
    </row>
    <row r="254" spans="1:11">
      <c r="A254">
        <f>IF(COUNTBLANK(B254:K254)&lt;&gt;COLUMNS(B254:K254),253,"")</f>
        <v>0</v>
      </c>
      <c r="C254" s="2">
        <f>IF(B254="", "", "missing: not provided")</f>
        <v>0</v>
      </c>
      <c r="D254" s="1">
        <f>IF(B254="", "", "weeks")</f>
        <v>0</v>
      </c>
      <c r="E254" s="1">
        <f>IF(B254="", "", "urban biome")</f>
        <v>0</v>
      </c>
      <c r="F254" s="1">
        <f>IF(B254="", "", "animal-associated habitat")</f>
        <v>0</v>
      </c>
      <c r="G254" s="1">
        <f>IF(B254="", "", "mouse")</f>
        <v>0</v>
      </c>
      <c r="H254" s="1">
        <f>IF(B254="", "", "Mus musculus")</f>
        <v>0</v>
      </c>
      <c r="I254" s="1">
        <f>IF(B254="", "", "10090")</f>
        <v>0</v>
      </c>
      <c r="J254" s="2">
        <f>IF(B254="", "", "missing: not provided")</f>
        <v>0</v>
      </c>
      <c r="K254" s="1">
        <f>IF(B254="", "", "g")</f>
        <v>0</v>
      </c>
    </row>
    <row r="255" spans="1:11">
      <c r="A255">
        <f>IF(COUNTBLANK(B255:K255)&lt;&gt;COLUMNS(B255:K255),254,"")</f>
        <v>0</v>
      </c>
      <c r="C255" s="2">
        <f>IF(B255="", "", "missing: not provided")</f>
        <v>0</v>
      </c>
      <c r="D255" s="1">
        <f>IF(B255="", "", "weeks")</f>
        <v>0</v>
      </c>
      <c r="E255" s="1">
        <f>IF(B255="", "", "urban biome")</f>
        <v>0</v>
      </c>
      <c r="F255" s="1">
        <f>IF(B255="", "", "animal-associated habitat")</f>
        <v>0</v>
      </c>
      <c r="G255" s="1">
        <f>IF(B255="", "", "mouse")</f>
        <v>0</v>
      </c>
      <c r="H255" s="1">
        <f>IF(B255="", "", "Mus musculus")</f>
        <v>0</v>
      </c>
      <c r="I255" s="1">
        <f>IF(B255="", "", "10090")</f>
        <v>0</v>
      </c>
      <c r="J255" s="2">
        <f>IF(B255="", "", "missing: not provided")</f>
        <v>0</v>
      </c>
      <c r="K255" s="1">
        <f>IF(B255="", "", "g")</f>
        <v>0</v>
      </c>
    </row>
    <row r="256" spans="1:11">
      <c r="A256">
        <f>IF(COUNTBLANK(B256:K256)&lt;&gt;COLUMNS(B256:K256),255,"")</f>
        <v>0</v>
      </c>
      <c r="C256" s="2">
        <f>IF(B256="", "", "missing: not provided")</f>
        <v>0</v>
      </c>
      <c r="D256" s="1">
        <f>IF(B256="", "", "weeks")</f>
        <v>0</v>
      </c>
      <c r="E256" s="1">
        <f>IF(B256="", "", "urban biome")</f>
        <v>0</v>
      </c>
      <c r="F256" s="1">
        <f>IF(B256="", "", "animal-associated habitat")</f>
        <v>0</v>
      </c>
      <c r="G256" s="1">
        <f>IF(B256="", "", "mouse")</f>
        <v>0</v>
      </c>
      <c r="H256" s="1">
        <f>IF(B256="", "", "Mus musculus")</f>
        <v>0</v>
      </c>
      <c r="I256" s="1">
        <f>IF(B256="", "", "10090")</f>
        <v>0</v>
      </c>
      <c r="J256" s="2">
        <f>IF(B256="", "", "missing: not provided")</f>
        <v>0</v>
      </c>
      <c r="K256" s="1">
        <f>IF(B256="", "", "g")</f>
        <v>0</v>
      </c>
    </row>
    <row r="257" spans="1:11">
      <c r="A257">
        <f>IF(COUNTBLANK(B257:K257)&lt;&gt;COLUMNS(B257:K257),256,"")</f>
        <v>0</v>
      </c>
      <c r="C257" s="2">
        <f>IF(B257="", "", "missing: not provided")</f>
        <v>0</v>
      </c>
      <c r="D257" s="1">
        <f>IF(B257="", "", "weeks")</f>
        <v>0</v>
      </c>
      <c r="E257" s="1">
        <f>IF(B257="", "", "urban biome")</f>
        <v>0</v>
      </c>
      <c r="F257" s="1">
        <f>IF(B257="", "", "animal-associated habitat")</f>
        <v>0</v>
      </c>
      <c r="G257" s="1">
        <f>IF(B257="", "", "mouse")</f>
        <v>0</v>
      </c>
      <c r="H257" s="1">
        <f>IF(B257="", "", "Mus musculus")</f>
        <v>0</v>
      </c>
      <c r="I257" s="1">
        <f>IF(B257="", "", "10090")</f>
        <v>0</v>
      </c>
      <c r="J257" s="2">
        <f>IF(B257="", "", "missing: not provided")</f>
        <v>0</v>
      </c>
      <c r="K257" s="1">
        <f>IF(B257="", "", "g")</f>
        <v>0</v>
      </c>
    </row>
    <row r="258" spans="1:11">
      <c r="A258">
        <f>IF(COUNTBLANK(B258:K258)&lt;&gt;COLUMNS(B258:K258),257,"")</f>
        <v>0</v>
      </c>
      <c r="C258" s="2">
        <f>IF(B258="", "", "missing: not provided")</f>
        <v>0</v>
      </c>
      <c r="D258" s="1">
        <f>IF(B258="", "", "weeks")</f>
        <v>0</v>
      </c>
      <c r="E258" s="1">
        <f>IF(B258="", "", "urban biome")</f>
        <v>0</v>
      </c>
      <c r="F258" s="1">
        <f>IF(B258="", "", "animal-associated habitat")</f>
        <v>0</v>
      </c>
      <c r="G258" s="1">
        <f>IF(B258="", "", "mouse")</f>
        <v>0</v>
      </c>
      <c r="H258" s="1">
        <f>IF(B258="", "", "Mus musculus")</f>
        <v>0</v>
      </c>
      <c r="I258" s="1">
        <f>IF(B258="", "", "10090")</f>
        <v>0</v>
      </c>
      <c r="J258" s="2">
        <f>IF(B258="", "", "missing: not provided")</f>
        <v>0</v>
      </c>
      <c r="K258" s="1">
        <f>IF(B258="", "", "g")</f>
        <v>0</v>
      </c>
    </row>
    <row r="259" spans="1:11">
      <c r="A259">
        <f>IF(COUNTBLANK(B259:K259)&lt;&gt;COLUMNS(B259:K259),258,"")</f>
        <v>0</v>
      </c>
      <c r="C259" s="2">
        <f>IF(B259="", "", "missing: not provided")</f>
        <v>0</v>
      </c>
      <c r="D259" s="1">
        <f>IF(B259="", "", "weeks")</f>
        <v>0</v>
      </c>
      <c r="E259" s="1">
        <f>IF(B259="", "", "urban biome")</f>
        <v>0</v>
      </c>
      <c r="F259" s="1">
        <f>IF(B259="", "", "animal-associated habitat")</f>
        <v>0</v>
      </c>
      <c r="G259" s="1">
        <f>IF(B259="", "", "mouse")</f>
        <v>0</v>
      </c>
      <c r="H259" s="1">
        <f>IF(B259="", "", "Mus musculus")</f>
        <v>0</v>
      </c>
      <c r="I259" s="1">
        <f>IF(B259="", "", "10090")</f>
        <v>0</v>
      </c>
      <c r="J259" s="2">
        <f>IF(B259="", "", "missing: not provided")</f>
        <v>0</v>
      </c>
      <c r="K259" s="1">
        <f>IF(B259="", "", "g")</f>
        <v>0</v>
      </c>
    </row>
    <row r="260" spans="1:11">
      <c r="A260">
        <f>IF(COUNTBLANK(B260:K260)&lt;&gt;COLUMNS(B260:K260),259,"")</f>
        <v>0</v>
      </c>
      <c r="C260" s="2">
        <f>IF(B260="", "", "missing: not provided")</f>
        <v>0</v>
      </c>
      <c r="D260" s="1">
        <f>IF(B260="", "", "weeks")</f>
        <v>0</v>
      </c>
      <c r="E260" s="1">
        <f>IF(B260="", "", "urban biome")</f>
        <v>0</v>
      </c>
      <c r="F260" s="1">
        <f>IF(B260="", "", "animal-associated habitat")</f>
        <v>0</v>
      </c>
      <c r="G260" s="1">
        <f>IF(B260="", "", "mouse")</f>
        <v>0</v>
      </c>
      <c r="H260" s="1">
        <f>IF(B260="", "", "Mus musculus")</f>
        <v>0</v>
      </c>
      <c r="I260" s="1">
        <f>IF(B260="", "", "10090")</f>
        <v>0</v>
      </c>
      <c r="J260" s="2">
        <f>IF(B260="", "", "missing: not provided")</f>
        <v>0</v>
      </c>
      <c r="K260" s="1">
        <f>IF(B260="", "", "g")</f>
        <v>0</v>
      </c>
    </row>
    <row r="261" spans="1:11">
      <c r="A261">
        <f>IF(COUNTBLANK(B261:K261)&lt;&gt;COLUMNS(B261:K261),260,"")</f>
        <v>0</v>
      </c>
      <c r="C261" s="2">
        <f>IF(B261="", "", "missing: not provided")</f>
        <v>0</v>
      </c>
      <c r="D261" s="1">
        <f>IF(B261="", "", "weeks")</f>
        <v>0</v>
      </c>
      <c r="E261" s="1">
        <f>IF(B261="", "", "urban biome")</f>
        <v>0</v>
      </c>
      <c r="F261" s="1">
        <f>IF(B261="", "", "animal-associated habitat")</f>
        <v>0</v>
      </c>
      <c r="G261" s="1">
        <f>IF(B261="", "", "mouse")</f>
        <v>0</v>
      </c>
      <c r="H261" s="1">
        <f>IF(B261="", "", "Mus musculus")</f>
        <v>0</v>
      </c>
      <c r="I261" s="1">
        <f>IF(B261="", "", "10090")</f>
        <v>0</v>
      </c>
      <c r="J261" s="2">
        <f>IF(B261="", "", "missing: not provided")</f>
        <v>0</v>
      </c>
      <c r="K261" s="1">
        <f>IF(B261="", "", "g")</f>
        <v>0</v>
      </c>
    </row>
    <row r="262" spans="1:11">
      <c r="A262">
        <f>IF(COUNTBLANK(B262:K262)&lt;&gt;COLUMNS(B262:K262),261,"")</f>
        <v>0</v>
      </c>
      <c r="C262" s="2">
        <f>IF(B262="", "", "missing: not provided")</f>
        <v>0</v>
      </c>
      <c r="D262" s="1">
        <f>IF(B262="", "", "weeks")</f>
        <v>0</v>
      </c>
      <c r="E262" s="1">
        <f>IF(B262="", "", "urban biome")</f>
        <v>0</v>
      </c>
      <c r="F262" s="1">
        <f>IF(B262="", "", "animal-associated habitat")</f>
        <v>0</v>
      </c>
      <c r="G262" s="1">
        <f>IF(B262="", "", "mouse")</f>
        <v>0</v>
      </c>
      <c r="H262" s="1">
        <f>IF(B262="", "", "Mus musculus")</f>
        <v>0</v>
      </c>
      <c r="I262" s="1">
        <f>IF(B262="", "", "10090")</f>
        <v>0</v>
      </c>
      <c r="J262" s="2">
        <f>IF(B262="", "", "missing: not provided")</f>
        <v>0</v>
      </c>
      <c r="K262" s="1">
        <f>IF(B262="", "", "g")</f>
        <v>0</v>
      </c>
    </row>
    <row r="263" spans="1:11">
      <c r="A263">
        <f>IF(COUNTBLANK(B263:K263)&lt;&gt;COLUMNS(B263:K263),262,"")</f>
        <v>0</v>
      </c>
      <c r="C263" s="2">
        <f>IF(B263="", "", "missing: not provided")</f>
        <v>0</v>
      </c>
      <c r="D263" s="1">
        <f>IF(B263="", "", "weeks")</f>
        <v>0</v>
      </c>
      <c r="E263" s="1">
        <f>IF(B263="", "", "urban biome")</f>
        <v>0</v>
      </c>
      <c r="F263" s="1">
        <f>IF(B263="", "", "animal-associated habitat")</f>
        <v>0</v>
      </c>
      <c r="G263" s="1">
        <f>IF(B263="", "", "mouse")</f>
        <v>0</v>
      </c>
      <c r="H263" s="1">
        <f>IF(B263="", "", "Mus musculus")</f>
        <v>0</v>
      </c>
      <c r="I263" s="1">
        <f>IF(B263="", "", "10090")</f>
        <v>0</v>
      </c>
      <c r="J263" s="2">
        <f>IF(B263="", "", "missing: not provided")</f>
        <v>0</v>
      </c>
      <c r="K263" s="1">
        <f>IF(B263="", "", "g")</f>
        <v>0</v>
      </c>
    </row>
    <row r="264" spans="1:11">
      <c r="A264">
        <f>IF(COUNTBLANK(B264:K264)&lt;&gt;COLUMNS(B264:K264),263,"")</f>
        <v>0</v>
      </c>
      <c r="C264" s="2">
        <f>IF(B264="", "", "missing: not provided")</f>
        <v>0</v>
      </c>
      <c r="D264" s="1">
        <f>IF(B264="", "", "weeks")</f>
        <v>0</v>
      </c>
      <c r="E264" s="1">
        <f>IF(B264="", "", "urban biome")</f>
        <v>0</v>
      </c>
      <c r="F264" s="1">
        <f>IF(B264="", "", "animal-associated habitat")</f>
        <v>0</v>
      </c>
      <c r="G264" s="1">
        <f>IF(B264="", "", "mouse")</f>
        <v>0</v>
      </c>
      <c r="H264" s="1">
        <f>IF(B264="", "", "Mus musculus")</f>
        <v>0</v>
      </c>
      <c r="I264" s="1">
        <f>IF(B264="", "", "10090")</f>
        <v>0</v>
      </c>
      <c r="J264" s="2">
        <f>IF(B264="", "", "missing: not provided")</f>
        <v>0</v>
      </c>
      <c r="K264" s="1">
        <f>IF(B264="", "", "g")</f>
        <v>0</v>
      </c>
    </row>
    <row r="265" spans="1:11">
      <c r="A265">
        <f>IF(COUNTBLANK(B265:K265)&lt;&gt;COLUMNS(B265:K265),264,"")</f>
        <v>0</v>
      </c>
      <c r="C265" s="2">
        <f>IF(B265="", "", "missing: not provided")</f>
        <v>0</v>
      </c>
      <c r="D265" s="1">
        <f>IF(B265="", "", "weeks")</f>
        <v>0</v>
      </c>
      <c r="E265" s="1">
        <f>IF(B265="", "", "urban biome")</f>
        <v>0</v>
      </c>
      <c r="F265" s="1">
        <f>IF(B265="", "", "animal-associated habitat")</f>
        <v>0</v>
      </c>
      <c r="G265" s="1">
        <f>IF(B265="", "", "mouse")</f>
        <v>0</v>
      </c>
      <c r="H265" s="1">
        <f>IF(B265="", "", "Mus musculus")</f>
        <v>0</v>
      </c>
      <c r="I265" s="1">
        <f>IF(B265="", "", "10090")</f>
        <v>0</v>
      </c>
      <c r="J265" s="2">
        <f>IF(B265="", "", "missing: not provided")</f>
        <v>0</v>
      </c>
      <c r="K265" s="1">
        <f>IF(B265="", "", "g")</f>
        <v>0</v>
      </c>
    </row>
    <row r="266" spans="1:11">
      <c r="A266">
        <f>IF(COUNTBLANK(B266:K266)&lt;&gt;COLUMNS(B266:K266),265,"")</f>
        <v>0</v>
      </c>
      <c r="C266" s="2">
        <f>IF(B266="", "", "missing: not provided")</f>
        <v>0</v>
      </c>
      <c r="D266" s="1">
        <f>IF(B266="", "", "weeks")</f>
        <v>0</v>
      </c>
      <c r="E266" s="1">
        <f>IF(B266="", "", "urban biome")</f>
        <v>0</v>
      </c>
      <c r="F266" s="1">
        <f>IF(B266="", "", "animal-associated habitat")</f>
        <v>0</v>
      </c>
      <c r="G266" s="1">
        <f>IF(B266="", "", "mouse")</f>
        <v>0</v>
      </c>
      <c r="H266" s="1">
        <f>IF(B266="", "", "Mus musculus")</f>
        <v>0</v>
      </c>
      <c r="I266" s="1">
        <f>IF(B266="", "", "10090")</f>
        <v>0</v>
      </c>
      <c r="J266" s="2">
        <f>IF(B266="", "", "missing: not provided")</f>
        <v>0</v>
      </c>
      <c r="K266" s="1">
        <f>IF(B266="", "", "g")</f>
        <v>0</v>
      </c>
    </row>
    <row r="267" spans="1:11">
      <c r="A267">
        <f>IF(COUNTBLANK(B267:K267)&lt;&gt;COLUMNS(B267:K267),266,"")</f>
        <v>0</v>
      </c>
      <c r="C267" s="2">
        <f>IF(B267="", "", "missing: not provided")</f>
        <v>0</v>
      </c>
      <c r="D267" s="1">
        <f>IF(B267="", "", "weeks")</f>
        <v>0</v>
      </c>
      <c r="E267" s="1">
        <f>IF(B267="", "", "urban biome")</f>
        <v>0</v>
      </c>
      <c r="F267" s="1">
        <f>IF(B267="", "", "animal-associated habitat")</f>
        <v>0</v>
      </c>
      <c r="G267" s="1">
        <f>IF(B267="", "", "mouse")</f>
        <v>0</v>
      </c>
      <c r="H267" s="1">
        <f>IF(B267="", "", "Mus musculus")</f>
        <v>0</v>
      </c>
      <c r="I267" s="1">
        <f>IF(B267="", "", "10090")</f>
        <v>0</v>
      </c>
      <c r="J267" s="2">
        <f>IF(B267="", "", "missing: not provided")</f>
        <v>0</v>
      </c>
      <c r="K267" s="1">
        <f>IF(B267="", "", "g")</f>
        <v>0</v>
      </c>
    </row>
    <row r="268" spans="1:11">
      <c r="A268">
        <f>IF(COUNTBLANK(B268:K268)&lt;&gt;COLUMNS(B268:K268),267,"")</f>
        <v>0</v>
      </c>
      <c r="C268" s="2">
        <f>IF(B268="", "", "missing: not provided")</f>
        <v>0</v>
      </c>
      <c r="D268" s="1">
        <f>IF(B268="", "", "weeks")</f>
        <v>0</v>
      </c>
      <c r="E268" s="1">
        <f>IF(B268="", "", "urban biome")</f>
        <v>0</v>
      </c>
      <c r="F268" s="1">
        <f>IF(B268="", "", "animal-associated habitat")</f>
        <v>0</v>
      </c>
      <c r="G268" s="1">
        <f>IF(B268="", "", "mouse")</f>
        <v>0</v>
      </c>
      <c r="H268" s="1">
        <f>IF(B268="", "", "Mus musculus")</f>
        <v>0</v>
      </c>
      <c r="I268" s="1">
        <f>IF(B268="", "", "10090")</f>
        <v>0</v>
      </c>
      <c r="J268" s="2">
        <f>IF(B268="", "", "missing: not provided")</f>
        <v>0</v>
      </c>
      <c r="K268" s="1">
        <f>IF(B268="", "", "g")</f>
        <v>0</v>
      </c>
    </row>
    <row r="269" spans="1:11">
      <c r="A269">
        <f>IF(COUNTBLANK(B269:K269)&lt;&gt;COLUMNS(B269:K269),268,"")</f>
        <v>0</v>
      </c>
      <c r="C269" s="2">
        <f>IF(B269="", "", "missing: not provided")</f>
        <v>0</v>
      </c>
      <c r="D269" s="1">
        <f>IF(B269="", "", "weeks")</f>
        <v>0</v>
      </c>
      <c r="E269" s="1">
        <f>IF(B269="", "", "urban biome")</f>
        <v>0</v>
      </c>
      <c r="F269" s="1">
        <f>IF(B269="", "", "animal-associated habitat")</f>
        <v>0</v>
      </c>
      <c r="G269" s="1">
        <f>IF(B269="", "", "mouse")</f>
        <v>0</v>
      </c>
      <c r="H269" s="1">
        <f>IF(B269="", "", "Mus musculus")</f>
        <v>0</v>
      </c>
      <c r="I269" s="1">
        <f>IF(B269="", "", "10090")</f>
        <v>0</v>
      </c>
      <c r="J269" s="2">
        <f>IF(B269="", "", "missing: not provided")</f>
        <v>0</v>
      </c>
      <c r="K269" s="1">
        <f>IF(B269="", "", "g")</f>
        <v>0</v>
      </c>
    </row>
    <row r="270" spans="1:11">
      <c r="A270">
        <f>IF(COUNTBLANK(B270:K270)&lt;&gt;COLUMNS(B270:K270),269,"")</f>
        <v>0</v>
      </c>
      <c r="C270" s="2">
        <f>IF(B270="", "", "missing: not provided")</f>
        <v>0</v>
      </c>
      <c r="D270" s="1">
        <f>IF(B270="", "", "weeks")</f>
        <v>0</v>
      </c>
      <c r="E270" s="1">
        <f>IF(B270="", "", "urban biome")</f>
        <v>0</v>
      </c>
      <c r="F270" s="1">
        <f>IF(B270="", "", "animal-associated habitat")</f>
        <v>0</v>
      </c>
      <c r="G270" s="1">
        <f>IF(B270="", "", "mouse")</f>
        <v>0</v>
      </c>
      <c r="H270" s="1">
        <f>IF(B270="", "", "Mus musculus")</f>
        <v>0</v>
      </c>
      <c r="I270" s="1">
        <f>IF(B270="", "", "10090")</f>
        <v>0</v>
      </c>
      <c r="J270" s="2">
        <f>IF(B270="", "", "missing: not provided")</f>
        <v>0</v>
      </c>
      <c r="K270" s="1">
        <f>IF(B270="", "", "g")</f>
        <v>0</v>
      </c>
    </row>
    <row r="271" spans="1:11">
      <c r="A271">
        <f>IF(COUNTBLANK(B271:K271)&lt;&gt;COLUMNS(B271:K271),270,"")</f>
        <v>0</v>
      </c>
      <c r="C271" s="2">
        <f>IF(B271="", "", "missing: not provided")</f>
        <v>0</v>
      </c>
      <c r="D271" s="1">
        <f>IF(B271="", "", "weeks")</f>
        <v>0</v>
      </c>
      <c r="E271" s="1">
        <f>IF(B271="", "", "urban biome")</f>
        <v>0</v>
      </c>
      <c r="F271" s="1">
        <f>IF(B271="", "", "animal-associated habitat")</f>
        <v>0</v>
      </c>
      <c r="G271" s="1">
        <f>IF(B271="", "", "mouse")</f>
        <v>0</v>
      </c>
      <c r="H271" s="1">
        <f>IF(B271="", "", "Mus musculus")</f>
        <v>0</v>
      </c>
      <c r="I271" s="1">
        <f>IF(B271="", "", "10090")</f>
        <v>0</v>
      </c>
      <c r="J271" s="2">
        <f>IF(B271="", "", "missing: not provided")</f>
        <v>0</v>
      </c>
      <c r="K271" s="1">
        <f>IF(B271="", "", "g")</f>
        <v>0</v>
      </c>
    </row>
    <row r="272" spans="1:11">
      <c r="A272">
        <f>IF(COUNTBLANK(B272:K272)&lt;&gt;COLUMNS(B272:K272),271,"")</f>
        <v>0</v>
      </c>
      <c r="C272" s="2">
        <f>IF(B272="", "", "missing: not provided")</f>
        <v>0</v>
      </c>
      <c r="D272" s="1">
        <f>IF(B272="", "", "weeks")</f>
        <v>0</v>
      </c>
      <c r="E272" s="1">
        <f>IF(B272="", "", "urban biome")</f>
        <v>0</v>
      </c>
      <c r="F272" s="1">
        <f>IF(B272="", "", "animal-associated habitat")</f>
        <v>0</v>
      </c>
      <c r="G272" s="1">
        <f>IF(B272="", "", "mouse")</f>
        <v>0</v>
      </c>
      <c r="H272" s="1">
        <f>IF(B272="", "", "Mus musculus")</f>
        <v>0</v>
      </c>
      <c r="I272" s="1">
        <f>IF(B272="", "", "10090")</f>
        <v>0</v>
      </c>
      <c r="J272" s="2">
        <f>IF(B272="", "", "missing: not provided")</f>
        <v>0</v>
      </c>
      <c r="K272" s="1">
        <f>IF(B272="", "", "g")</f>
        <v>0</v>
      </c>
    </row>
    <row r="273" spans="1:11">
      <c r="A273">
        <f>IF(COUNTBLANK(B273:K273)&lt;&gt;COLUMNS(B273:K273),272,"")</f>
        <v>0</v>
      </c>
      <c r="C273" s="2">
        <f>IF(B273="", "", "missing: not provided")</f>
        <v>0</v>
      </c>
      <c r="D273" s="1">
        <f>IF(B273="", "", "weeks")</f>
        <v>0</v>
      </c>
      <c r="E273" s="1">
        <f>IF(B273="", "", "urban biome")</f>
        <v>0</v>
      </c>
      <c r="F273" s="1">
        <f>IF(B273="", "", "animal-associated habitat")</f>
        <v>0</v>
      </c>
      <c r="G273" s="1">
        <f>IF(B273="", "", "mouse")</f>
        <v>0</v>
      </c>
      <c r="H273" s="1">
        <f>IF(B273="", "", "Mus musculus")</f>
        <v>0</v>
      </c>
      <c r="I273" s="1">
        <f>IF(B273="", "", "10090")</f>
        <v>0</v>
      </c>
      <c r="J273" s="2">
        <f>IF(B273="", "", "missing: not provided")</f>
        <v>0</v>
      </c>
      <c r="K273" s="1">
        <f>IF(B273="", "", "g")</f>
        <v>0</v>
      </c>
    </row>
    <row r="274" spans="1:11">
      <c r="A274">
        <f>IF(COUNTBLANK(B274:K274)&lt;&gt;COLUMNS(B274:K274),273,"")</f>
        <v>0</v>
      </c>
      <c r="C274" s="2">
        <f>IF(B274="", "", "missing: not provided")</f>
        <v>0</v>
      </c>
      <c r="D274" s="1">
        <f>IF(B274="", "", "weeks")</f>
        <v>0</v>
      </c>
      <c r="E274" s="1">
        <f>IF(B274="", "", "urban biome")</f>
        <v>0</v>
      </c>
      <c r="F274" s="1">
        <f>IF(B274="", "", "animal-associated habitat")</f>
        <v>0</v>
      </c>
      <c r="G274" s="1">
        <f>IF(B274="", "", "mouse")</f>
        <v>0</v>
      </c>
      <c r="H274" s="1">
        <f>IF(B274="", "", "Mus musculus")</f>
        <v>0</v>
      </c>
      <c r="I274" s="1">
        <f>IF(B274="", "", "10090")</f>
        <v>0</v>
      </c>
      <c r="J274" s="2">
        <f>IF(B274="", "", "missing: not provided")</f>
        <v>0</v>
      </c>
      <c r="K274" s="1">
        <f>IF(B274="", "", "g")</f>
        <v>0</v>
      </c>
    </row>
    <row r="275" spans="1:11">
      <c r="A275">
        <f>IF(COUNTBLANK(B275:K275)&lt;&gt;COLUMNS(B275:K275),274,"")</f>
        <v>0</v>
      </c>
      <c r="C275" s="2">
        <f>IF(B275="", "", "missing: not provided")</f>
        <v>0</v>
      </c>
      <c r="D275" s="1">
        <f>IF(B275="", "", "weeks")</f>
        <v>0</v>
      </c>
      <c r="E275" s="1">
        <f>IF(B275="", "", "urban biome")</f>
        <v>0</v>
      </c>
      <c r="F275" s="1">
        <f>IF(B275="", "", "animal-associated habitat")</f>
        <v>0</v>
      </c>
      <c r="G275" s="1">
        <f>IF(B275="", "", "mouse")</f>
        <v>0</v>
      </c>
      <c r="H275" s="1">
        <f>IF(B275="", "", "Mus musculus")</f>
        <v>0</v>
      </c>
      <c r="I275" s="1">
        <f>IF(B275="", "", "10090")</f>
        <v>0</v>
      </c>
      <c r="J275" s="2">
        <f>IF(B275="", "", "missing: not provided")</f>
        <v>0</v>
      </c>
      <c r="K275" s="1">
        <f>IF(B275="", "", "g")</f>
        <v>0</v>
      </c>
    </row>
    <row r="276" spans="1:11">
      <c r="A276">
        <f>IF(COUNTBLANK(B276:K276)&lt;&gt;COLUMNS(B276:K276),275,"")</f>
        <v>0</v>
      </c>
      <c r="C276" s="2">
        <f>IF(B276="", "", "missing: not provided")</f>
        <v>0</v>
      </c>
      <c r="D276" s="1">
        <f>IF(B276="", "", "weeks")</f>
        <v>0</v>
      </c>
      <c r="E276" s="1">
        <f>IF(B276="", "", "urban biome")</f>
        <v>0</v>
      </c>
      <c r="F276" s="1">
        <f>IF(B276="", "", "animal-associated habitat")</f>
        <v>0</v>
      </c>
      <c r="G276" s="1">
        <f>IF(B276="", "", "mouse")</f>
        <v>0</v>
      </c>
      <c r="H276" s="1">
        <f>IF(B276="", "", "Mus musculus")</f>
        <v>0</v>
      </c>
      <c r="I276" s="1">
        <f>IF(B276="", "", "10090")</f>
        <v>0</v>
      </c>
      <c r="J276" s="2">
        <f>IF(B276="", "", "missing: not provided")</f>
        <v>0</v>
      </c>
      <c r="K276" s="1">
        <f>IF(B276="", "", "g")</f>
        <v>0</v>
      </c>
    </row>
    <row r="277" spans="1:11">
      <c r="A277">
        <f>IF(COUNTBLANK(B277:K277)&lt;&gt;COLUMNS(B277:K277),276,"")</f>
        <v>0</v>
      </c>
      <c r="C277" s="2">
        <f>IF(B277="", "", "missing: not provided")</f>
        <v>0</v>
      </c>
      <c r="D277" s="1">
        <f>IF(B277="", "", "weeks")</f>
        <v>0</v>
      </c>
      <c r="E277" s="1">
        <f>IF(B277="", "", "urban biome")</f>
        <v>0</v>
      </c>
      <c r="F277" s="1">
        <f>IF(B277="", "", "animal-associated habitat")</f>
        <v>0</v>
      </c>
      <c r="G277" s="1">
        <f>IF(B277="", "", "mouse")</f>
        <v>0</v>
      </c>
      <c r="H277" s="1">
        <f>IF(B277="", "", "Mus musculus")</f>
        <v>0</v>
      </c>
      <c r="I277" s="1">
        <f>IF(B277="", "", "10090")</f>
        <v>0</v>
      </c>
      <c r="J277" s="2">
        <f>IF(B277="", "", "missing: not provided")</f>
        <v>0</v>
      </c>
      <c r="K277" s="1">
        <f>IF(B277="", "", "g")</f>
        <v>0</v>
      </c>
    </row>
    <row r="278" spans="1:11">
      <c r="A278">
        <f>IF(COUNTBLANK(B278:K278)&lt;&gt;COLUMNS(B278:K278),277,"")</f>
        <v>0</v>
      </c>
      <c r="C278" s="2">
        <f>IF(B278="", "", "missing: not provided")</f>
        <v>0</v>
      </c>
      <c r="D278" s="1">
        <f>IF(B278="", "", "weeks")</f>
        <v>0</v>
      </c>
      <c r="E278" s="1">
        <f>IF(B278="", "", "urban biome")</f>
        <v>0</v>
      </c>
      <c r="F278" s="1">
        <f>IF(B278="", "", "animal-associated habitat")</f>
        <v>0</v>
      </c>
      <c r="G278" s="1">
        <f>IF(B278="", "", "mouse")</f>
        <v>0</v>
      </c>
      <c r="H278" s="1">
        <f>IF(B278="", "", "Mus musculus")</f>
        <v>0</v>
      </c>
      <c r="I278" s="1">
        <f>IF(B278="", "", "10090")</f>
        <v>0</v>
      </c>
      <c r="J278" s="2">
        <f>IF(B278="", "", "missing: not provided")</f>
        <v>0</v>
      </c>
      <c r="K278" s="1">
        <f>IF(B278="", "", "g")</f>
        <v>0</v>
      </c>
    </row>
    <row r="279" spans="1:11">
      <c r="A279">
        <f>IF(COUNTBLANK(B279:K279)&lt;&gt;COLUMNS(B279:K279),278,"")</f>
        <v>0</v>
      </c>
      <c r="C279" s="2">
        <f>IF(B279="", "", "missing: not provided")</f>
        <v>0</v>
      </c>
      <c r="D279" s="1">
        <f>IF(B279="", "", "weeks")</f>
        <v>0</v>
      </c>
      <c r="E279" s="1">
        <f>IF(B279="", "", "urban biome")</f>
        <v>0</v>
      </c>
      <c r="F279" s="1">
        <f>IF(B279="", "", "animal-associated habitat")</f>
        <v>0</v>
      </c>
      <c r="G279" s="1">
        <f>IF(B279="", "", "mouse")</f>
        <v>0</v>
      </c>
      <c r="H279" s="1">
        <f>IF(B279="", "", "Mus musculus")</f>
        <v>0</v>
      </c>
      <c r="I279" s="1">
        <f>IF(B279="", "", "10090")</f>
        <v>0</v>
      </c>
      <c r="J279" s="2">
        <f>IF(B279="", "", "missing: not provided")</f>
        <v>0</v>
      </c>
      <c r="K279" s="1">
        <f>IF(B279="", "", "g")</f>
        <v>0</v>
      </c>
    </row>
    <row r="280" spans="1:11">
      <c r="A280">
        <f>IF(COUNTBLANK(B280:K280)&lt;&gt;COLUMNS(B280:K280),279,"")</f>
        <v>0</v>
      </c>
      <c r="C280" s="2">
        <f>IF(B280="", "", "missing: not provided")</f>
        <v>0</v>
      </c>
      <c r="D280" s="1">
        <f>IF(B280="", "", "weeks")</f>
        <v>0</v>
      </c>
      <c r="E280" s="1">
        <f>IF(B280="", "", "urban biome")</f>
        <v>0</v>
      </c>
      <c r="F280" s="1">
        <f>IF(B280="", "", "animal-associated habitat")</f>
        <v>0</v>
      </c>
      <c r="G280" s="1">
        <f>IF(B280="", "", "mouse")</f>
        <v>0</v>
      </c>
      <c r="H280" s="1">
        <f>IF(B280="", "", "Mus musculus")</f>
        <v>0</v>
      </c>
      <c r="I280" s="1">
        <f>IF(B280="", "", "10090")</f>
        <v>0</v>
      </c>
      <c r="J280" s="2">
        <f>IF(B280="", "", "missing: not provided")</f>
        <v>0</v>
      </c>
      <c r="K280" s="1">
        <f>IF(B280="", "", "g")</f>
        <v>0</v>
      </c>
    </row>
    <row r="281" spans="1:11">
      <c r="A281">
        <f>IF(COUNTBLANK(B281:K281)&lt;&gt;COLUMNS(B281:K281),280,"")</f>
        <v>0</v>
      </c>
      <c r="C281" s="2">
        <f>IF(B281="", "", "missing: not provided")</f>
        <v>0</v>
      </c>
      <c r="D281" s="1">
        <f>IF(B281="", "", "weeks")</f>
        <v>0</v>
      </c>
      <c r="E281" s="1">
        <f>IF(B281="", "", "urban biome")</f>
        <v>0</v>
      </c>
      <c r="F281" s="1">
        <f>IF(B281="", "", "animal-associated habitat")</f>
        <v>0</v>
      </c>
      <c r="G281" s="1">
        <f>IF(B281="", "", "mouse")</f>
        <v>0</v>
      </c>
      <c r="H281" s="1">
        <f>IF(B281="", "", "Mus musculus")</f>
        <v>0</v>
      </c>
      <c r="I281" s="1">
        <f>IF(B281="", "", "10090")</f>
        <v>0</v>
      </c>
      <c r="J281" s="2">
        <f>IF(B281="", "", "missing: not provided")</f>
        <v>0</v>
      </c>
      <c r="K281" s="1">
        <f>IF(B281="", "", "g")</f>
        <v>0</v>
      </c>
    </row>
    <row r="282" spans="1:11">
      <c r="A282">
        <f>IF(COUNTBLANK(B282:K282)&lt;&gt;COLUMNS(B282:K282),281,"")</f>
        <v>0</v>
      </c>
      <c r="C282" s="2">
        <f>IF(B282="", "", "missing: not provided")</f>
        <v>0</v>
      </c>
      <c r="D282" s="1">
        <f>IF(B282="", "", "weeks")</f>
        <v>0</v>
      </c>
      <c r="E282" s="1">
        <f>IF(B282="", "", "urban biome")</f>
        <v>0</v>
      </c>
      <c r="F282" s="1">
        <f>IF(B282="", "", "animal-associated habitat")</f>
        <v>0</v>
      </c>
      <c r="G282" s="1">
        <f>IF(B282="", "", "mouse")</f>
        <v>0</v>
      </c>
      <c r="H282" s="1">
        <f>IF(B282="", "", "Mus musculus")</f>
        <v>0</v>
      </c>
      <c r="I282" s="1">
        <f>IF(B282="", "", "10090")</f>
        <v>0</v>
      </c>
      <c r="J282" s="2">
        <f>IF(B282="", "", "missing: not provided")</f>
        <v>0</v>
      </c>
      <c r="K282" s="1">
        <f>IF(B282="", "", "g")</f>
        <v>0</v>
      </c>
    </row>
    <row r="283" spans="1:11">
      <c r="A283">
        <f>IF(COUNTBLANK(B283:K283)&lt;&gt;COLUMNS(B283:K283),282,"")</f>
        <v>0</v>
      </c>
      <c r="C283" s="2">
        <f>IF(B283="", "", "missing: not provided")</f>
        <v>0</v>
      </c>
      <c r="D283" s="1">
        <f>IF(B283="", "", "weeks")</f>
        <v>0</v>
      </c>
      <c r="E283" s="1">
        <f>IF(B283="", "", "urban biome")</f>
        <v>0</v>
      </c>
      <c r="F283" s="1">
        <f>IF(B283="", "", "animal-associated habitat")</f>
        <v>0</v>
      </c>
      <c r="G283" s="1">
        <f>IF(B283="", "", "mouse")</f>
        <v>0</v>
      </c>
      <c r="H283" s="1">
        <f>IF(B283="", "", "Mus musculus")</f>
        <v>0</v>
      </c>
      <c r="I283" s="1">
        <f>IF(B283="", "", "10090")</f>
        <v>0</v>
      </c>
      <c r="J283" s="2">
        <f>IF(B283="", "", "missing: not provided")</f>
        <v>0</v>
      </c>
      <c r="K283" s="1">
        <f>IF(B283="", "", "g")</f>
        <v>0</v>
      </c>
    </row>
    <row r="284" spans="1:11">
      <c r="A284">
        <f>IF(COUNTBLANK(B284:K284)&lt;&gt;COLUMNS(B284:K284),283,"")</f>
        <v>0</v>
      </c>
      <c r="C284" s="2">
        <f>IF(B284="", "", "missing: not provided")</f>
        <v>0</v>
      </c>
      <c r="D284" s="1">
        <f>IF(B284="", "", "weeks")</f>
        <v>0</v>
      </c>
      <c r="E284" s="1">
        <f>IF(B284="", "", "urban biome")</f>
        <v>0</v>
      </c>
      <c r="F284" s="1">
        <f>IF(B284="", "", "animal-associated habitat")</f>
        <v>0</v>
      </c>
      <c r="G284" s="1">
        <f>IF(B284="", "", "mouse")</f>
        <v>0</v>
      </c>
      <c r="H284" s="1">
        <f>IF(B284="", "", "Mus musculus")</f>
        <v>0</v>
      </c>
      <c r="I284" s="1">
        <f>IF(B284="", "", "10090")</f>
        <v>0</v>
      </c>
      <c r="J284" s="2">
        <f>IF(B284="", "", "missing: not provided")</f>
        <v>0</v>
      </c>
      <c r="K284" s="1">
        <f>IF(B284="", "", "g")</f>
        <v>0</v>
      </c>
    </row>
    <row r="285" spans="1:11">
      <c r="A285">
        <f>IF(COUNTBLANK(B285:K285)&lt;&gt;COLUMNS(B285:K285),284,"")</f>
        <v>0</v>
      </c>
      <c r="C285" s="2">
        <f>IF(B285="", "", "missing: not provided")</f>
        <v>0</v>
      </c>
      <c r="D285" s="1">
        <f>IF(B285="", "", "weeks")</f>
        <v>0</v>
      </c>
      <c r="E285" s="1">
        <f>IF(B285="", "", "urban biome")</f>
        <v>0</v>
      </c>
      <c r="F285" s="1">
        <f>IF(B285="", "", "animal-associated habitat")</f>
        <v>0</v>
      </c>
      <c r="G285" s="1">
        <f>IF(B285="", "", "mouse")</f>
        <v>0</v>
      </c>
      <c r="H285" s="1">
        <f>IF(B285="", "", "Mus musculus")</f>
        <v>0</v>
      </c>
      <c r="I285" s="1">
        <f>IF(B285="", "", "10090")</f>
        <v>0</v>
      </c>
      <c r="J285" s="2">
        <f>IF(B285="", "", "missing: not provided")</f>
        <v>0</v>
      </c>
      <c r="K285" s="1">
        <f>IF(B285="", "", "g")</f>
        <v>0</v>
      </c>
    </row>
    <row r="286" spans="1:11">
      <c r="A286">
        <f>IF(COUNTBLANK(B286:K286)&lt;&gt;COLUMNS(B286:K286),285,"")</f>
        <v>0</v>
      </c>
      <c r="C286" s="2">
        <f>IF(B286="", "", "missing: not provided")</f>
        <v>0</v>
      </c>
      <c r="D286" s="1">
        <f>IF(B286="", "", "weeks")</f>
        <v>0</v>
      </c>
      <c r="E286" s="1">
        <f>IF(B286="", "", "urban biome")</f>
        <v>0</v>
      </c>
      <c r="F286" s="1">
        <f>IF(B286="", "", "animal-associated habitat")</f>
        <v>0</v>
      </c>
      <c r="G286" s="1">
        <f>IF(B286="", "", "mouse")</f>
        <v>0</v>
      </c>
      <c r="H286" s="1">
        <f>IF(B286="", "", "Mus musculus")</f>
        <v>0</v>
      </c>
      <c r="I286" s="1">
        <f>IF(B286="", "", "10090")</f>
        <v>0</v>
      </c>
      <c r="J286" s="2">
        <f>IF(B286="", "", "missing: not provided")</f>
        <v>0</v>
      </c>
      <c r="K286" s="1">
        <f>IF(B286="", "", "g")</f>
        <v>0</v>
      </c>
    </row>
    <row r="287" spans="1:11">
      <c r="A287">
        <f>IF(COUNTBLANK(B287:K287)&lt;&gt;COLUMNS(B287:K287),286,"")</f>
        <v>0</v>
      </c>
      <c r="C287" s="2">
        <f>IF(B287="", "", "missing: not provided")</f>
        <v>0</v>
      </c>
      <c r="D287" s="1">
        <f>IF(B287="", "", "weeks")</f>
        <v>0</v>
      </c>
      <c r="E287" s="1">
        <f>IF(B287="", "", "urban biome")</f>
        <v>0</v>
      </c>
      <c r="F287" s="1">
        <f>IF(B287="", "", "animal-associated habitat")</f>
        <v>0</v>
      </c>
      <c r="G287" s="1">
        <f>IF(B287="", "", "mouse")</f>
        <v>0</v>
      </c>
      <c r="H287" s="1">
        <f>IF(B287="", "", "Mus musculus")</f>
        <v>0</v>
      </c>
      <c r="I287" s="1">
        <f>IF(B287="", "", "10090")</f>
        <v>0</v>
      </c>
      <c r="J287" s="2">
        <f>IF(B287="", "", "missing: not provided")</f>
        <v>0</v>
      </c>
      <c r="K287" s="1">
        <f>IF(B287="", "", "g")</f>
        <v>0</v>
      </c>
    </row>
    <row r="288" spans="1:11">
      <c r="A288">
        <f>IF(COUNTBLANK(B288:K288)&lt;&gt;COLUMNS(B288:K288),287,"")</f>
        <v>0</v>
      </c>
      <c r="C288" s="2">
        <f>IF(B288="", "", "missing: not provided")</f>
        <v>0</v>
      </c>
      <c r="D288" s="1">
        <f>IF(B288="", "", "weeks")</f>
        <v>0</v>
      </c>
      <c r="E288" s="1">
        <f>IF(B288="", "", "urban biome")</f>
        <v>0</v>
      </c>
      <c r="F288" s="1">
        <f>IF(B288="", "", "animal-associated habitat")</f>
        <v>0</v>
      </c>
      <c r="G288" s="1">
        <f>IF(B288="", "", "mouse")</f>
        <v>0</v>
      </c>
      <c r="H288" s="1">
        <f>IF(B288="", "", "Mus musculus")</f>
        <v>0</v>
      </c>
      <c r="I288" s="1">
        <f>IF(B288="", "", "10090")</f>
        <v>0</v>
      </c>
      <c r="J288" s="2">
        <f>IF(B288="", "", "missing: not provided")</f>
        <v>0</v>
      </c>
      <c r="K288" s="1">
        <f>IF(B288="", "", "g")</f>
        <v>0</v>
      </c>
    </row>
    <row r="289" spans="1:11">
      <c r="A289">
        <f>IF(COUNTBLANK(B289:K289)&lt;&gt;COLUMNS(B289:K289),288,"")</f>
        <v>0</v>
      </c>
      <c r="C289" s="2">
        <f>IF(B289="", "", "missing: not provided")</f>
        <v>0</v>
      </c>
      <c r="D289" s="1">
        <f>IF(B289="", "", "weeks")</f>
        <v>0</v>
      </c>
      <c r="E289" s="1">
        <f>IF(B289="", "", "urban biome")</f>
        <v>0</v>
      </c>
      <c r="F289" s="1">
        <f>IF(B289="", "", "animal-associated habitat")</f>
        <v>0</v>
      </c>
      <c r="G289" s="1">
        <f>IF(B289="", "", "mouse")</f>
        <v>0</v>
      </c>
      <c r="H289" s="1">
        <f>IF(B289="", "", "Mus musculus")</f>
        <v>0</v>
      </c>
      <c r="I289" s="1">
        <f>IF(B289="", "", "10090")</f>
        <v>0</v>
      </c>
      <c r="J289" s="2">
        <f>IF(B289="", "", "missing: not provided")</f>
        <v>0</v>
      </c>
      <c r="K289" s="1">
        <f>IF(B289="", "", "g")</f>
        <v>0</v>
      </c>
    </row>
    <row r="290" spans="1:11">
      <c r="A290">
        <f>IF(COUNTBLANK(B290:K290)&lt;&gt;COLUMNS(B290:K290),289,"")</f>
        <v>0</v>
      </c>
      <c r="C290" s="2">
        <f>IF(B290="", "", "missing: not provided")</f>
        <v>0</v>
      </c>
      <c r="D290" s="1">
        <f>IF(B290="", "", "weeks")</f>
        <v>0</v>
      </c>
      <c r="E290" s="1">
        <f>IF(B290="", "", "urban biome")</f>
        <v>0</v>
      </c>
      <c r="F290" s="1">
        <f>IF(B290="", "", "animal-associated habitat")</f>
        <v>0</v>
      </c>
      <c r="G290" s="1">
        <f>IF(B290="", "", "mouse")</f>
        <v>0</v>
      </c>
      <c r="H290" s="1">
        <f>IF(B290="", "", "Mus musculus")</f>
        <v>0</v>
      </c>
      <c r="I290" s="1">
        <f>IF(B290="", "", "10090")</f>
        <v>0</v>
      </c>
      <c r="J290" s="2">
        <f>IF(B290="", "", "missing: not provided")</f>
        <v>0</v>
      </c>
      <c r="K290" s="1">
        <f>IF(B290="", "", "g")</f>
        <v>0</v>
      </c>
    </row>
    <row r="291" spans="1:11">
      <c r="A291">
        <f>IF(COUNTBLANK(B291:K291)&lt;&gt;COLUMNS(B291:K291),290,"")</f>
        <v>0</v>
      </c>
      <c r="C291" s="2">
        <f>IF(B291="", "", "missing: not provided")</f>
        <v>0</v>
      </c>
      <c r="D291" s="1">
        <f>IF(B291="", "", "weeks")</f>
        <v>0</v>
      </c>
      <c r="E291" s="1">
        <f>IF(B291="", "", "urban biome")</f>
        <v>0</v>
      </c>
      <c r="F291" s="1">
        <f>IF(B291="", "", "animal-associated habitat")</f>
        <v>0</v>
      </c>
      <c r="G291" s="1">
        <f>IF(B291="", "", "mouse")</f>
        <v>0</v>
      </c>
      <c r="H291" s="1">
        <f>IF(B291="", "", "Mus musculus")</f>
        <v>0</v>
      </c>
      <c r="I291" s="1">
        <f>IF(B291="", "", "10090")</f>
        <v>0</v>
      </c>
      <c r="J291" s="2">
        <f>IF(B291="", "", "missing: not provided")</f>
        <v>0</v>
      </c>
      <c r="K291" s="1">
        <f>IF(B291="", "", "g")</f>
        <v>0</v>
      </c>
    </row>
    <row r="292" spans="1:11">
      <c r="A292">
        <f>IF(COUNTBLANK(B292:K292)&lt;&gt;COLUMNS(B292:K292),291,"")</f>
        <v>0</v>
      </c>
      <c r="C292" s="2">
        <f>IF(B292="", "", "missing: not provided")</f>
        <v>0</v>
      </c>
      <c r="D292" s="1">
        <f>IF(B292="", "", "weeks")</f>
        <v>0</v>
      </c>
      <c r="E292" s="1">
        <f>IF(B292="", "", "urban biome")</f>
        <v>0</v>
      </c>
      <c r="F292" s="1">
        <f>IF(B292="", "", "animal-associated habitat")</f>
        <v>0</v>
      </c>
      <c r="G292" s="1">
        <f>IF(B292="", "", "mouse")</f>
        <v>0</v>
      </c>
      <c r="H292" s="1">
        <f>IF(B292="", "", "Mus musculus")</f>
        <v>0</v>
      </c>
      <c r="I292" s="1">
        <f>IF(B292="", "", "10090")</f>
        <v>0</v>
      </c>
      <c r="J292" s="2">
        <f>IF(B292="", "", "missing: not provided")</f>
        <v>0</v>
      </c>
      <c r="K292" s="1">
        <f>IF(B292="", "", "g")</f>
        <v>0</v>
      </c>
    </row>
    <row r="293" spans="1:11">
      <c r="A293">
        <f>IF(COUNTBLANK(B293:K293)&lt;&gt;COLUMNS(B293:K293),292,"")</f>
        <v>0</v>
      </c>
      <c r="C293" s="2">
        <f>IF(B293="", "", "missing: not provided")</f>
        <v>0</v>
      </c>
      <c r="D293" s="1">
        <f>IF(B293="", "", "weeks")</f>
        <v>0</v>
      </c>
      <c r="E293" s="1">
        <f>IF(B293="", "", "urban biome")</f>
        <v>0</v>
      </c>
      <c r="F293" s="1">
        <f>IF(B293="", "", "animal-associated habitat")</f>
        <v>0</v>
      </c>
      <c r="G293" s="1">
        <f>IF(B293="", "", "mouse")</f>
        <v>0</v>
      </c>
      <c r="H293" s="1">
        <f>IF(B293="", "", "Mus musculus")</f>
        <v>0</v>
      </c>
      <c r="I293" s="1">
        <f>IF(B293="", "", "10090")</f>
        <v>0</v>
      </c>
      <c r="J293" s="2">
        <f>IF(B293="", "", "missing: not provided")</f>
        <v>0</v>
      </c>
      <c r="K293" s="1">
        <f>IF(B293="", "", "g")</f>
        <v>0</v>
      </c>
    </row>
    <row r="294" spans="1:11">
      <c r="A294">
        <f>IF(COUNTBLANK(B294:K294)&lt;&gt;COLUMNS(B294:K294),293,"")</f>
        <v>0</v>
      </c>
      <c r="C294" s="2">
        <f>IF(B294="", "", "missing: not provided")</f>
        <v>0</v>
      </c>
      <c r="D294" s="1">
        <f>IF(B294="", "", "weeks")</f>
        <v>0</v>
      </c>
      <c r="E294" s="1">
        <f>IF(B294="", "", "urban biome")</f>
        <v>0</v>
      </c>
      <c r="F294" s="1">
        <f>IF(B294="", "", "animal-associated habitat")</f>
        <v>0</v>
      </c>
      <c r="G294" s="1">
        <f>IF(B294="", "", "mouse")</f>
        <v>0</v>
      </c>
      <c r="H294" s="1">
        <f>IF(B294="", "", "Mus musculus")</f>
        <v>0</v>
      </c>
      <c r="I294" s="1">
        <f>IF(B294="", "", "10090")</f>
        <v>0</v>
      </c>
      <c r="J294" s="2">
        <f>IF(B294="", "", "missing: not provided")</f>
        <v>0</v>
      </c>
      <c r="K294" s="1">
        <f>IF(B294="", "", "g")</f>
        <v>0</v>
      </c>
    </row>
    <row r="295" spans="1:11">
      <c r="A295">
        <f>IF(COUNTBLANK(B295:K295)&lt;&gt;COLUMNS(B295:K295),294,"")</f>
        <v>0</v>
      </c>
      <c r="C295" s="2">
        <f>IF(B295="", "", "missing: not provided")</f>
        <v>0</v>
      </c>
      <c r="D295" s="1">
        <f>IF(B295="", "", "weeks")</f>
        <v>0</v>
      </c>
      <c r="E295" s="1">
        <f>IF(B295="", "", "urban biome")</f>
        <v>0</v>
      </c>
      <c r="F295" s="1">
        <f>IF(B295="", "", "animal-associated habitat")</f>
        <v>0</v>
      </c>
      <c r="G295" s="1">
        <f>IF(B295="", "", "mouse")</f>
        <v>0</v>
      </c>
      <c r="H295" s="1">
        <f>IF(B295="", "", "Mus musculus")</f>
        <v>0</v>
      </c>
      <c r="I295" s="1">
        <f>IF(B295="", "", "10090")</f>
        <v>0</v>
      </c>
      <c r="J295" s="2">
        <f>IF(B295="", "", "missing: not provided")</f>
        <v>0</v>
      </c>
      <c r="K295" s="1">
        <f>IF(B295="", "", "g")</f>
        <v>0</v>
      </c>
    </row>
    <row r="296" spans="1:11">
      <c r="A296">
        <f>IF(COUNTBLANK(B296:K296)&lt;&gt;COLUMNS(B296:K296),295,"")</f>
        <v>0</v>
      </c>
      <c r="C296" s="2">
        <f>IF(B296="", "", "missing: not provided")</f>
        <v>0</v>
      </c>
      <c r="D296" s="1">
        <f>IF(B296="", "", "weeks")</f>
        <v>0</v>
      </c>
      <c r="E296" s="1">
        <f>IF(B296="", "", "urban biome")</f>
        <v>0</v>
      </c>
      <c r="F296" s="1">
        <f>IF(B296="", "", "animal-associated habitat")</f>
        <v>0</v>
      </c>
      <c r="G296" s="1">
        <f>IF(B296="", "", "mouse")</f>
        <v>0</v>
      </c>
      <c r="H296" s="1">
        <f>IF(B296="", "", "Mus musculus")</f>
        <v>0</v>
      </c>
      <c r="I296" s="1">
        <f>IF(B296="", "", "10090")</f>
        <v>0</v>
      </c>
      <c r="J296" s="2">
        <f>IF(B296="", "", "missing: not provided")</f>
        <v>0</v>
      </c>
      <c r="K296" s="1">
        <f>IF(B296="", "", "g")</f>
        <v>0</v>
      </c>
    </row>
    <row r="297" spans="1:11">
      <c r="A297">
        <f>IF(COUNTBLANK(B297:K297)&lt;&gt;COLUMNS(B297:K297),296,"")</f>
        <v>0</v>
      </c>
      <c r="C297" s="2">
        <f>IF(B297="", "", "missing: not provided")</f>
        <v>0</v>
      </c>
      <c r="D297" s="1">
        <f>IF(B297="", "", "weeks")</f>
        <v>0</v>
      </c>
      <c r="E297" s="1">
        <f>IF(B297="", "", "urban biome")</f>
        <v>0</v>
      </c>
      <c r="F297" s="1">
        <f>IF(B297="", "", "animal-associated habitat")</f>
        <v>0</v>
      </c>
      <c r="G297" s="1">
        <f>IF(B297="", "", "mouse")</f>
        <v>0</v>
      </c>
      <c r="H297" s="1">
        <f>IF(B297="", "", "Mus musculus")</f>
        <v>0</v>
      </c>
      <c r="I297" s="1">
        <f>IF(B297="", "", "10090")</f>
        <v>0</v>
      </c>
      <c r="J297" s="2">
        <f>IF(B297="", "", "missing: not provided")</f>
        <v>0</v>
      </c>
      <c r="K297" s="1">
        <f>IF(B297="", "", "g")</f>
        <v>0</v>
      </c>
    </row>
    <row r="298" spans="1:11">
      <c r="A298">
        <f>IF(COUNTBLANK(B298:K298)&lt;&gt;COLUMNS(B298:K298),297,"")</f>
        <v>0</v>
      </c>
      <c r="C298" s="2">
        <f>IF(B298="", "", "missing: not provided")</f>
        <v>0</v>
      </c>
      <c r="D298" s="1">
        <f>IF(B298="", "", "weeks")</f>
        <v>0</v>
      </c>
      <c r="E298" s="1">
        <f>IF(B298="", "", "urban biome")</f>
        <v>0</v>
      </c>
      <c r="F298" s="1">
        <f>IF(B298="", "", "animal-associated habitat")</f>
        <v>0</v>
      </c>
      <c r="G298" s="1">
        <f>IF(B298="", "", "mouse")</f>
        <v>0</v>
      </c>
      <c r="H298" s="1">
        <f>IF(B298="", "", "Mus musculus")</f>
        <v>0</v>
      </c>
      <c r="I298" s="1">
        <f>IF(B298="", "", "10090")</f>
        <v>0</v>
      </c>
      <c r="J298" s="2">
        <f>IF(B298="", "", "missing: not provided")</f>
        <v>0</v>
      </c>
      <c r="K298" s="1">
        <f>IF(B298="", "", "g")</f>
        <v>0</v>
      </c>
    </row>
    <row r="299" spans="1:11">
      <c r="A299">
        <f>IF(COUNTBLANK(B299:K299)&lt;&gt;COLUMNS(B299:K299),298,"")</f>
        <v>0</v>
      </c>
      <c r="C299" s="2">
        <f>IF(B299="", "", "missing: not provided")</f>
        <v>0</v>
      </c>
      <c r="D299" s="1">
        <f>IF(B299="", "", "weeks")</f>
        <v>0</v>
      </c>
      <c r="E299" s="1">
        <f>IF(B299="", "", "urban biome")</f>
        <v>0</v>
      </c>
      <c r="F299" s="1">
        <f>IF(B299="", "", "animal-associated habitat")</f>
        <v>0</v>
      </c>
      <c r="G299" s="1">
        <f>IF(B299="", "", "mouse")</f>
        <v>0</v>
      </c>
      <c r="H299" s="1">
        <f>IF(B299="", "", "Mus musculus")</f>
        <v>0</v>
      </c>
      <c r="I299" s="1">
        <f>IF(B299="", "", "10090")</f>
        <v>0</v>
      </c>
      <c r="J299" s="2">
        <f>IF(B299="", "", "missing: not provided")</f>
        <v>0</v>
      </c>
      <c r="K299" s="1">
        <f>IF(B299="", "", "g")</f>
        <v>0</v>
      </c>
    </row>
    <row r="300" spans="1:11">
      <c r="A300">
        <f>IF(COUNTBLANK(B300:K300)&lt;&gt;COLUMNS(B300:K300),299,"")</f>
        <v>0</v>
      </c>
      <c r="C300" s="2">
        <f>IF(B300="", "", "missing: not provided")</f>
        <v>0</v>
      </c>
      <c r="D300" s="1">
        <f>IF(B300="", "", "weeks")</f>
        <v>0</v>
      </c>
      <c r="E300" s="1">
        <f>IF(B300="", "", "urban biome")</f>
        <v>0</v>
      </c>
      <c r="F300" s="1">
        <f>IF(B300="", "", "animal-associated habitat")</f>
        <v>0</v>
      </c>
      <c r="G300" s="1">
        <f>IF(B300="", "", "mouse")</f>
        <v>0</v>
      </c>
      <c r="H300" s="1">
        <f>IF(B300="", "", "Mus musculus")</f>
        <v>0</v>
      </c>
      <c r="I300" s="1">
        <f>IF(B300="", "", "10090")</f>
        <v>0</v>
      </c>
      <c r="J300" s="2">
        <f>IF(B300="", "", "missing: not provided")</f>
        <v>0</v>
      </c>
      <c r="K300" s="1">
        <f>IF(B300="", "", "g")</f>
        <v>0</v>
      </c>
    </row>
    <row r="301" spans="1:11">
      <c r="A301">
        <f>IF(COUNTBLANK(B301:K301)&lt;&gt;COLUMNS(B301:K301),300,"")</f>
        <v>0</v>
      </c>
      <c r="C301" s="2">
        <f>IF(B301="", "", "missing: not provided")</f>
        <v>0</v>
      </c>
      <c r="D301" s="1">
        <f>IF(B301="", "", "weeks")</f>
        <v>0</v>
      </c>
      <c r="E301" s="1">
        <f>IF(B301="", "", "urban biome")</f>
        <v>0</v>
      </c>
      <c r="F301" s="1">
        <f>IF(B301="", "", "animal-associated habitat")</f>
        <v>0</v>
      </c>
      <c r="G301" s="1">
        <f>IF(B301="", "", "mouse")</f>
        <v>0</v>
      </c>
      <c r="H301" s="1">
        <f>IF(B301="", "", "Mus musculus")</f>
        <v>0</v>
      </c>
      <c r="I301" s="1">
        <f>IF(B301="", "", "10090")</f>
        <v>0</v>
      </c>
      <c r="J301" s="2">
        <f>IF(B301="", "", "missing: not provided")</f>
        <v>0</v>
      </c>
      <c r="K301" s="1">
        <f>IF(B301="", "", "g")</f>
        <v>0</v>
      </c>
    </row>
    <row r="302" spans="1:11">
      <c r="A302">
        <f>IF(COUNTBLANK(B302:K302)&lt;&gt;COLUMNS(B302:K302),301,"")</f>
        <v>0</v>
      </c>
      <c r="C302" s="2">
        <f>IF(B302="", "", "missing: not provided")</f>
        <v>0</v>
      </c>
      <c r="D302" s="1">
        <f>IF(B302="", "", "weeks")</f>
        <v>0</v>
      </c>
      <c r="E302" s="1">
        <f>IF(B302="", "", "urban biome")</f>
        <v>0</v>
      </c>
      <c r="F302" s="1">
        <f>IF(B302="", "", "animal-associated habitat")</f>
        <v>0</v>
      </c>
      <c r="G302" s="1">
        <f>IF(B302="", "", "mouse")</f>
        <v>0</v>
      </c>
      <c r="H302" s="1">
        <f>IF(B302="", "", "Mus musculus")</f>
        <v>0</v>
      </c>
      <c r="I302" s="1">
        <f>IF(B302="", "", "10090")</f>
        <v>0</v>
      </c>
      <c r="J302" s="2">
        <f>IF(B302="", "", "missing: not provided")</f>
        <v>0</v>
      </c>
      <c r="K302" s="1">
        <f>IF(B302="", "", "g")</f>
        <v>0</v>
      </c>
    </row>
    <row r="303" spans="1:11">
      <c r="A303">
        <f>IF(COUNTBLANK(B303:K303)&lt;&gt;COLUMNS(B303:K303),302,"")</f>
        <v>0</v>
      </c>
      <c r="C303" s="2">
        <f>IF(B303="", "", "missing: not provided")</f>
        <v>0</v>
      </c>
      <c r="D303" s="1">
        <f>IF(B303="", "", "weeks")</f>
        <v>0</v>
      </c>
      <c r="E303" s="1">
        <f>IF(B303="", "", "urban biome")</f>
        <v>0</v>
      </c>
      <c r="F303" s="1">
        <f>IF(B303="", "", "animal-associated habitat")</f>
        <v>0</v>
      </c>
      <c r="G303" s="1">
        <f>IF(B303="", "", "mouse")</f>
        <v>0</v>
      </c>
      <c r="H303" s="1">
        <f>IF(B303="", "", "Mus musculus")</f>
        <v>0</v>
      </c>
      <c r="I303" s="1">
        <f>IF(B303="", "", "10090")</f>
        <v>0</v>
      </c>
      <c r="J303" s="2">
        <f>IF(B303="", "", "missing: not provided")</f>
        <v>0</v>
      </c>
      <c r="K303" s="1">
        <f>IF(B303="", "", "g")</f>
        <v>0</v>
      </c>
    </row>
    <row r="304" spans="1:11">
      <c r="A304">
        <f>IF(COUNTBLANK(B304:K304)&lt;&gt;COLUMNS(B304:K304),303,"")</f>
        <v>0</v>
      </c>
      <c r="C304" s="2">
        <f>IF(B304="", "", "missing: not provided")</f>
        <v>0</v>
      </c>
      <c r="D304" s="1">
        <f>IF(B304="", "", "weeks")</f>
        <v>0</v>
      </c>
      <c r="E304" s="1">
        <f>IF(B304="", "", "urban biome")</f>
        <v>0</v>
      </c>
      <c r="F304" s="1">
        <f>IF(B304="", "", "animal-associated habitat")</f>
        <v>0</v>
      </c>
      <c r="G304" s="1">
        <f>IF(B304="", "", "mouse")</f>
        <v>0</v>
      </c>
      <c r="H304" s="1">
        <f>IF(B304="", "", "Mus musculus")</f>
        <v>0</v>
      </c>
      <c r="I304" s="1">
        <f>IF(B304="", "", "10090")</f>
        <v>0</v>
      </c>
      <c r="J304" s="2">
        <f>IF(B304="", "", "missing: not provided")</f>
        <v>0</v>
      </c>
      <c r="K304" s="1">
        <f>IF(B304="", "", "g")</f>
        <v>0</v>
      </c>
    </row>
    <row r="305" spans="1:11">
      <c r="A305">
        <f>IF(COUNTBLANK(B305:K305)&lt;&gt;COLUMNS(B305:K305),304,"")</f>
        <v>0</v>
      </c>
      <c r="C305" s="2">
        <f>IF(B305="", "", "missing: not provided")</f>
        <v>0</v>
      </c>
      <c r="D305" s="1">
        <f>IF(B305="", "", "weeks")</f>
        <v>0</v>
      </c>
      <c r="E305" s="1">
        <f>IF(B305="", "", "urban biome")</f>
        <v>0</v>
      </c>
      <c r="F305" s="1">
        <f>IF(B305="", "", "animal-associated habitat")</f>
        <v>0</v>
      </c>
      <c r="G305" s="1">
        <f>IF(B305="", "", "mouse")</f>
        <v>0</v>
      </c>
      <c r="H305" s="1">
        <f>IF(B305="", "", "Mus musculus")</f>
        <v>0</v>
      </c>
      <c r="I305" s="1">
        <f>IF(B305="", "", "10090")</f>
        <v>0</v>
      </c>
      <c r="J305" s="2">
        <f>IF(B305="", "", "missing: not provided")</f>
        <v>0</v>
      </c>
      <c r="K305" s="1">
        <f>IF(B305="", "", "g")</f>
        <v>0</v>
      </c>
    </row>
    <row r="306" spans="1:11">
      <c r="A306">
        <f>IF(COUNTBLANK(B306:K306)&lt;&gt;COLUMNS(B306:K306),305,"")</f>
        <v>0</v>
      </c>
      <c r="C306" s="2">
        <f>IF(B306="", "", "missing: not provided")</f>
        <v>0</v>
      </c>
      <c r="D306" s="1">
        <f>IF(B306="", "", "weeks")</f>
        <v>0</v>
      </c>
      <c r="E306" s="1">
        <f>IF(B306="", "", "urban biome")</f>
        <v>0</v>
      </c>
      <c r="F306" s="1">
        <f>IF(B306="", "", "animal-associated habitat")</f>
        <v>0</v>
      </c>
      <c r="G306" s="1">
        <f>IF(B306="", "", "mouse")</f>
        <v>0</v>
      </c>
      <c r="H306" s="1">
        <f>IF(B306="", "", "Mus musculus")</f>
        <v>0</v>
      </c>
      <c r="I306" s="1">
        <f>IF(B306="", "", "10090")</f>
        <v>0</v>
      </c>
      <c r="J306" s="2">
        <f>IF(B306="", "", "missing: not provided")</f>
        <v>0</v>
      </c>
      <c r="K306" s="1">
        <f>IF(B306="", "", "g")</f>
        <v>0</v>
      </c>
    </row>
    <row r="307" spans="1:11">
      <c r="A307">
        <f>IF(COUNTBLANK(B307:K307)&lt;&gt;COLUMNS(B307:K307),306,"")</f>
        <v>0</v>
      </c>
      <c r="C307" s="2">
        <f>IF(B307="", "", "missing: not provided")</f>
        <v>0</v>
      </c>
      <c r="D307" s="1">
        <f>IF(B307="", "", "weeks")</f>
        <v>0</v>
      </c>
      <c r="E307" s="1">
        <f>IF(B307="", "", "urban biome")</f>
        <v>0</v>
      </c>
      <c r="F307" s="1">
        <f>IF(B307="", "", "animal-associated habitat")</f>
        <v>0</v>
      </c>
      <c r="G307" s="1">
        <f>IF(B307="", "", "mouse")</f>
        <v>0</v>
      </c>
      <c r="H307" s="1">
        <f>IF(B307="", "", "Mus musculus")</f>
        <v>0</v>
      </c>
      <c r="I307" s="1">
        <f>IF(B307="", "", "10090")</f>
        <v>0</v>
      </c>
      <c r="J307" s="2">
        <f>IF(B307="", "", "missing: not provided")</f>
        <v>0</v>
      </c>
      <c r="K307" s="1">
        <f>IF(B307="", "", "g")</f>
        <v>0</v>
      </c>
    </row>
    <row r="308" spans="1:11">
      <c r="A308">
        <f>IF(COUNTBLANK(B308:K308)&lt;&gt;COLUMNS(B308:K308),307,"")</f>
        <v>0</v>
      </c>
      <c r="C308" s="2">
        <f>IF(B308="", "", "missing: not provided")</f>
        <v>0</v>
      </c>
      <c r="D308" s="1">
        <f>IF(B308="", "", "weeks")</f>
        <v>0</v>
      </c>
      <c r="E308" s="1">
        <f>IF(B308="", "", "urban biome")</f>
        <v>0</v>
      </c>
      <c r="F308" s="1">
        <f>IF(B308="", "", "animal-associated habitat")</f>
        <v>0</v>
      </c>
      <c r="G308" s="1">
        <f>IF(B308="", "", "mouse")</f>
        <v>0</v>
      </c>
      <c r="H308" s="1">
        <f>IF(B308="", "", "Mus musculus")</f>
        <v>0</v>
      </c>
      <c r="I308" s="1">
        <f>IF(B308="", "", "10090")</f>
        <v>0</v>
      </c>
      <c r="J308" s="2">
        <f>IF(B308="", "", "missing: not provided")</f>
        <v>0</v>
      </c>
      <c r="K308" s="1">
        <f>IF(B308="", "", "g")</f>
        <v>0</v>
      </c>
    </row>
    <row r="309" spans="1:11">
      <c r="A309">
        <f>IF(COUNTBLANK(B309:K309)&lt;&gt;COLUMNS(B309:K309),308,"")</f>
        <v>0</v>
      </c>
      <c r="C309" s="2">
        <f>IF(B309="", "", "missing: not provided")</f>
        <v>0</v>
      </c>
      <c r="D309" s="1">
        <f>IF(B309="", "", "weeks")</f>
        <v>0</v>
      </c>
      <c r="E309" s="1">
        <f>IF(B309="", "", "urban biome")</f>
        <v>0</v>
      </c>
      <c r="F309" s="1">
        <f>IF(B309="", "", "animal-associated habitat")</f>
        <v>0</v>
      </c>
      <c r="G309" s="1">
        <f>IF(B309="", "", "mouse")</f>
        <v>0</v>
      </c>
      <c r="H309" s="1">
        <f>IF(B309="", "", "Mus musculus")</f>
        <v>0</v>
      </c>
      <c r="I309" s="1">
        <f>IF(B309="", "", "10090")</f>
        <v>0</v>
      </c>
      <c r="J309" s="2">
        <f>IF(B309="", "", "missing: not provided")</f>
        <v>0</v>
      </c>
      <c r="K309" s="1">
        <f>IF(B309="", "", "g")</f>
        <v>0</v>
      </c>
    </row>
    <row r="310" spans="1:11">
      <c r="A310">
        <f>IF(COUNTBLANK(B310:K310)&lt;&gt;COLUMNS(B310:K310),309,"")</f>
        <v>0</v>
      </c>
      <c r="C310" s="2">
        <f>IF(B310="", "", "missing: not provided")</f>
        <v>0</v>
      </c>
      <c r="D310" s="1">
        <f>IF(B310="", "", "weeks")</f>
        <v>0</v>
      </c>
      <c r="E310" s="1">
        <f>IF(B310="", "", "urban biome")</f>
        <v>0</v>
      </c>
      <c r="F310" s="1">
        <f>IF(B310="", "", "animal-associated habitat")</f>
        <v>0</v>
      </c>
      <c r="G310" s="1">
        <f>IF(B310="", "", "mouse")</f>
        <v>0</v>
      </c>
      <c r="H310" s="1">
        <f>IF(B310="", "", "Mus musculus")</f>
        <v>0</v>
      </c>
      <c r="I310" s="1">
        <f>IF(B310="", "", "10090")</f>
        <v>0</v>
      </c>
      <c r="J310" s="2">
        <f>IF(B310="", "", "missing: not provided")</f>
        <v>0</v>
      </c>
      <c r="K310" s="1">
        <f>IF(B310="", "", "g")</f>
        <v>0</v>
      </c>
    </row>
    <row r="311" spans="1:11">
      <c r="A311">
        <f>IF(COUNTBLANK(B311:K311)&lt;&gt;COLUMNS(B311:K311),310,"")</f>
        <v>0</v>
      </c>
      <c r="C311" s="2">
        <f>IF(B311="", "", "missing: not provided")</f>
        <v>0</v>
      </c>
      <c r="D311" s="1">
        <f>IF(B311="", "", "weeks")</f>
        <v>0</v>
      </c>
      <c r="E311" s="1">
        <f>IF(B311="", "", "urban biome")</f>
        <v>0</v>
      </c>
      <c r="F311" s="1">
        <f>IF(B311="", "", "animal-associated habitat")</f>
        <v>0</v>
      </c>
      <c r="G311" s="1">
        <f>IF(B311="", "", "mouse")</f>
        <v>0</v>
      </c>
      <c r="H311" s="1">
        <f>IF(B311="", "", "Mus musculus")</f>
        <v>0</v>
      </c>
      <c r="I311" s="1">
        <f>IF(B311="", "", "10090")</f>
        <v>0</v>
      </c>
      <c r="J311" s="2">
        <f>IF(B311="", "", "missing: not provided")</f>
        <v>0</v>
      </c>
      <c r="K311" s="1">
        <f>IF(B311="", "", "g")</f>
        <v>0</v>
      </c>
    </row>
    <row r="312" spans="1:11">
      <c r="A312">
        <f>IF(COUNTBLANK(B312:K312)&lt;&gt;COLUMNS(B312:K312),311,"")</f>
        <v>0</v>
      </c>
      <c r="C312" s="2">
        <f>IF(B312="", "", "missing: not provided")</f>
        <v>0</v>
      </c>
      <c r="D312" s="1">
        <f>IF(B312="", "", "weeks")</f>
        <v>0</v>
      </c>
      <c r="E312" s="1">
        <f>IF(B312="", "", "urban biome")</f>
        <v>0</v>
      </c>
      <c r="F312" s="1">
        <f>IF(B312="", "", "animal-associated habitat")</f>
        <v>0</v>
      </c>
      <c r="G312" s="1">
        <f>IF(B312="", "", "mouse")</f>
        <v>0</v>
      </c>
      <c r="H312" s="1">
        <f>IF(B312="", "", "Mus musculus")</f>
        <v>0</v>
      </c>
      <c r="I312" s="1">
        <f>IF(B312="", "", "10090")</f>
        <v>0</v>
      </c>
      <c r="J312" s="2">
        <f>IF(B312="", "", "missing: not provided")</f>
        <v>0</v>
      </c>
      <c r="K312" s="1">
        <f>IF(B312="", "", "g")</f>
        <v>0</v>
      </c>
    </row>
    <row r="313" spans="1:11">
      <c r="A313">
        <f>IF(COUNTBLANK(B313:K313)&lt;&gt;COLUMNS(B313:K313),312,"")</f>
        <v>0</v>
      </c>
      <c r="C313" s="2">
        <f>IF(B313="", "", "missing: not provided")</f>
        <v>0</v>
      </c>
      <c r="D313" s="1">
        <f>IF(B313="", "", "weeks")</f>
        <v>0</v>
      </c>
      <c r="E313" s="1">
        <f>IF(B313="", "", "urban biome")</f>
        <v>0</v>
      </c>
      <c r="F313" s="1">
        <f>IF(B313="", "", "animal-associated habitat")</f>
        <v>0</v>
      </c>
      <c r="G313" s="1">
        <f>IF(B313="", "", "mouse")</f>
        <v>0</v>
      </c>
      <c r="H313" s="1">
        <f>IF(B313="", "", "Mus musculus")</f>
        <v>0</v>
      </c>
      <c r="I313" s="1">
        <f>IF(B313="", "", "10090")</f>
        <v>0</v>
      </c>
      <c r="J313" s="2">
        <f>IF(B313="", "", "missing: not provided")</f>
        <v>0</v>
      </c>
      <c r="K313" s="1">
        <f>IF(B313="", "", "g")</f>
        <v>0</v>
      </c>
    </row>
    <row r="314" spans="1:11">
      <c r="A314">
        <f>IF(COUNTBLANK(B314:K314)&lt;&gt;COLUMNS(B314:K314),313,"")</f>
        <v>0</v>
      </c>
      <c r="C314" s="2">
        <f>IF(B314="", "", "missing: not provided")</f>
        <v>0</v>
      </c>
      <c r="D314" s="1">
        <f>IF(B314="", "", "weeks")</f>
        <v>0</v>
      </c>
      <c r="E314" s="1">
        <f>IF(B314="", "", "urban biome")</f>
        <v>0</v>
      </c>
      <c r="F314" s="1">
        <f>IF(B314="", "", "animal-associated habitat")</f>
        <v>0</v>
      </c>
      <c r="G314" s="1">
        <f>IF(B314="", "", "mouse")</f>
        <v>0</v>
      </c>
      <c r="H314" s="1">
        <f>IF(B314="", "", "Mus musculus")</f>
        <v>0</v>
      </c>
      <c r="I314" s="1">
        <f>IF(B314="", "", "10090")</f>
        <v>0</v>
      </c>
      <c r="J314" s="2">
        <f>IF(B314="", "", "missing: not provided")</f>
        <v>0</v>
      </c>
      <c r="K314" s="1">
        <f>IF(B314="", "", "g")</f>
        <v>0</v>
      </c>
    </row>
    <row r="315" spans="1:11">
      <c r="A315">
        <f>IF(COUNTBLANK(B315:K315)&lt;&gt;COLUMNS(B315:K315),314,"")</f>
        <v>0</v>
      </c>
      <c r="C315" s="2">
        <f>IF(B315="", "", "missing: not provided")</f>
        <v>0</v>
      </c>
      <c r="D315" s="1">
        <f>IF(B315="", "", "weeks")</f>
        <v>0</v>
      </c>
      <c r="E315" s="1">
        <f>IF(B315="", "", "urban biome")</f>
        <v>0</v>
      </c>
      <c r="F315" s="1">
        <f>IF(B315="", "", "animal-associated habitat")</f>
        <v>0</v>
      </c>
      <c r="G315" s="1">
        <f>IF(B315="", "", "mouse")</f>
        <v>0</v>
      </c>
      <c r="H315" s="1">
        <f>IF(B315="", "", "Mus musculus")</f>
        <v>0</v>
      </c>
      <c r="I315" s="1">
        <f>IF(B315="", "", "10090")</f>
        <v>0</v>
      </c>
      <c r="J315" s="2">
        <f>IF(B315="", "", "missing: not provided")</f>
        <v>0</v>
      </c>
      <c r="K315" s="1">
        <f>IF(B315="", "", "g")</f>
        <v>0</v>
      </c>
    </row>
    <row r="316" spans="1:11">
      <c r="A316">
        <f>IF(COUNTBLANK(B316:K316)&lt;&gt;COLUMNS(B316:K316),315,"")</f>
        <v>0</v>
      </c>
      <c r="C316" s="2">
        <f>IF(B316="", "", "missing: not provided")</f>
        <v>0</v>
      </c>
      <c r="D316" s="1">
        <f>IF(B316="", "", "weeks")</f>
        <v>0</v>
      </c>
      <c r="E316" s="1">
        <f>IF(B316="", "", "urban biome")</f>
        <v>0</v>
      </c>
      <c r="F316" s="1">
        <f>IF(B316="", "", "animal-associated habitat")</f>
        <v>0</v>
      </c>
      <c r="G316" s="1">
        <f>IF(B316="", "", "mouse")</f>
        <v>0</v>
      </c>
      <c r="H316" s="1">
        <f>IF(B316="", "", "Mus musculus")</f>
        <v>0</v>
      </c>
      <c r="I316" s="1">
        <f>IF(B316="", "", "10090")</f>
        <v>0</v>
      </c>
      <c r="J316" s="2">
        <f>IF(B316="", "", "missing: not provided")</f>
        <v>0</v>
      </c>
      <c r="K316" s="1">
        <f>IF(B316="", "", "g")</f>
        <v>0</v>
      </c>
    </row>
    <row r="317" spans="1:11">
      <c r="A317">
        <f>IF(COUNTBLANK(B317:K317)&lt;&gt;COLUMNS(B317:K317),316,"")</f>
        <v>0</v>
      </c>
      <c r="C317" s="2">
        <f>IF(B317="", "", "missing: not provided")</f>
        <v>0</v>
      </c>
      <c r="D317" s="1">
        <f>IF(B317="", "", "weeks")</f>
        <v>0</v>
      </c>
      <c r="E317" s="1">
        <f>IF(B317="", "", "urban biome")</f>
        <v>0</v>
      </c>
      <c r="F317" s="1">
        <f>IF(B317="", "", "animal-associated habitat")</f>
        <v>0</v>
      </c>
      <c r="G317" s="1">
        <f>IF(B317="", "", "mouse")</f>
        <v>0</v>
      </c>
      <c r="H317" s="1">
        <f>IF(B317="", "", "Mus musculus")</f>
        <v>0</v>
      </c>
      <c r="I317" s="1">
        <f>IF(B317="", "", "10090")</f>
        <v>0</v>
      </c>
      <c r="J317" s="2">
        <f>IF(B317="", "", "missing: not provided")</f>
        <v>0</v>
      </c>
      <c r="K317" s="1">
        <f>IF(B317="", "", "g")</f>
        <v>0</v>
      </c>
    </row>
    <row r="318" spans="1:11">
      <c r="A318">
        <f>IF(COUNTBLANK(B318:K318)&lt;&gt;COLUMNS(B318:K318),317,"")</f>
        <v>0</v>
      </c>
      <c r="C318" s="2">
        <f>IF(B318="", "", "missing: not provided")</f>
        <v>0</v>
      </c>
      <c r="D318" s="1">
        <f>IF(B318="", "", "weeks")</f>
        <v>0</v>
      </c>
      <c r="E318" s="1">
        <f>IF(B318="", "", "urban biome")</f>
        <v>0</v>
      </c>
      <c r="F318" s="1">
        <f>IF(B318="", "", "animal-associated habitat")</f>
        <v>0</v>
      </c>
      <c r="G318" s="1">
        <f>IF(B318="", "", "mouse")</f>
        <v>0</v>
      </c>
      <c r="H318" s="1">
        <f>IF(B318="", "", "Mus musculus")</f>
        <v>0</v>
      </c>
      <c r="I318" s="1">
        <f>IF(B318="", "", "10090")</f>
        <v>0</v>
      </c>
      <c r="J318" s="2">
        <f>IF(B318="", "", "missing: not provided")</f>
        <v>0</v>
      </c>
      <c r="K318" s="1">
        <f>IF(B318="", "", "g")</f>
        <v>0</v>
      </c>
    </row>
    <row r="319" spans="1:11">
      <c r="A319">
        <f>IF(COUNTBLANK(B319:K319)&lt;&gt;COLUMNS(B319:K319),318,"")</f>
        <v>0</v>
      </c>
      <c r="C319" s="2">
        <f>IF(B319="", "", "missing: not provided")</f>
        <v>0</v>
      </c>
      <c r="D319" s="1">
        <f>IF(B319="", "", "weeks")</f>
        <v>0</v>
      </c>
      <c r="E319" s="1">
        <f>IF(B319="", "", "urban biome")</f>
        <v>0</v>
      </c>
      <c r="F319" s="1">
        <f>IF(B319="", "", "animal-associated habitat")</f>
        <v>0</v>
      </c>
      <c r="G319" s="1">
        <f>IF(B319="", "", "mouse")</f>
        <v>0</v>
      </c>
      <c r="H319" s="1">
        <f>IF(B319="", "", "Mus musculus")</f>
        <v>0</v>
      </c>
      <c r="I319" s="1">
        <f>IF(B319="", "", "10090")</f>
        <v>0</v>
      </c>
      <c r="J319" s="2">
        <f>IF(B319="", "", "missing: not provided")</f>
        <v>0</v>
      </c>
      <c r="K319" s="1">
        <f>IF(B319="", "", "g")</f>
        <v>0</v>
      </c>
    </row>
    <row r="320" spans="1:11">
      <c r="A320">
        <f>IF(COUNTBLANK(B320:K320)&lt;&gt;COLUMNS(B320:K320),319,"")</f>
        <v>0</v>
      </c>
      <c r="C320" s="2">
        <f>IF(B320="", "", "missing: not provided")</f>
        <v>0</v>
      </c>
      <c r="D320" s="1">
        <f>IF(B320="", "", "weeks")</f>
        <v>0</v>
      </c>
      <c r="E320" s="1">
        <f>IF(B320="", "", "urban biome")</f>
        <v>0</v>
      </c>
      <c r="F320" s="1">
        <f>IF(B320="", "", "animal-associated habitat")</f>
        <v>0</v>
      </c>
      <c r="G320" s="1">
        <f>IF(B320="", "", "mouse")</f>
        <v>0</v>
      </c>
      <c r="H320" s="1">
        <f>IF(B320="", "", "Mus musculus")</f>
        <v>0</v>
      </c>
      <c r="I320" s="1">
        <f>IF(B320="", "", "10090")</f>
        <v>0</v>
      </c>
      <c r="J320" s="2">
        <f>IF(B320="", "", "missing: not provided")</f>
        <v>0</v>
      </c>
      <c r="K320" s="1">
        <f>IF(B320="", "", "g")</f>
        <v>0</v>
      </c>
    </row>
    <row r="321" spans="1:11">
      <c r="A321">
        <f>IF(COUNTBLANK(B321:K321)&lt;&gt;COLUMNS(B321:K321),320,"")</f>
        <v>0</v>
      </c>
      <c r="C321" s="2">
        <f>IF(B321="", "", "missing: not provided")</f>
        <v>0</v>
      </c>
      <c r="D321" s="1">
        <f>IF(B321="", "", "weeks")</f>
        <v>0</v>
      </c>
      <c r="E321" s="1">
        <f>IF(B321="", "", "urban biome")</f>
        <v>0</v>
      </c>
      <c r="F321" s="1">
        <f>IF(B321="", "", "animal-associated habitat")</f>
        <v>0</v>
      </c>
      <c r="G321" s="1">
        <f>IF(B321="", "", "mouse")</f>
        <v>0</v>
      </c>
      <c r="H321" s="1">
        <f>IF(B321="", "", "Mus musculus")</f>
        <v>0</v>
      </c>
      <c r="I321" s="1">
        <f>IF(B321="", "", "10090")</f>
        <v>0</v>
      </c>
      <c r="J321" s="2">
        <f>IF(B321="", "", "missing: not provided")</f>
        <v>0</v>
      </c>
      <c r="K321" s="1">
        <f>IF(B321="", "", "g")</f>
        <v>0</v>
      </c>
    </row>
    <row r="322" spans="1:11">
      <c r="A322">
        <f>IF(COUNTBLANK(B322:K322)&lt;&gt;COLUMNS(B322:K322),321,"")</f>
        <v>0</v>
      </c>
      <c r="C322" s="2">
        <f>IF(B322="", "", "missing: not provided")</f>
        <v>0</v>
      </c>
      <c r="D322" s="1">
        <f>IF(B322="", "", "weeks")</f>
        <v>0</v>
      </c>
      <c r="E322" s="1">
        <f>IF(B322="", "", "urban biome")</f>
        <v>0</v>
      </c>
      <c r="F322" s="1">
        <f>IF(B322="", "", "animal-associated habitat")</f>
        <v>0</v>
      </c>
      <c r="G322" s="1">
        <f>IF(B322="", "", "mouse")</f>
        <v>0</v>
      </c>
      <c r="H322" s="1">
        <f>IF(B322="", "", "Mus musculus")</f>
        <v>0</v>
      </c>
      <c r="I322" s="1">
        <f>IF(B322="", "", "10090")</f>
        <v>0</v>
      </c>
      <c r="J322" s="2">
        <f>IF(B322="", "", "missing: not provided")</f>
        <v>0</v>
      </c>
      <c r="K322" s="1">
        <f>IF(B322="", "", "g")</f>
        <v>0</v>
      </c>
    </row>
    <row r="323" spans="1:11">
      <c r="A323">
        <f>IF(COUNTBLANK(B323:K323)&lt;&gt;COLUMNS(B323:K323),322,"")</f>
        <v>0</v>
      </c>
      <c r="C323" s="2">
        <f>IF(B323="", "", "missing: not provided")</f>
        <v>0</v>
      </c>
      <c r="D323" s="1">
        <f>IF(B323="", "", "weeks")</f>
        <v>0</v>
      </c>
      <c r="E323" s="1">
        <f>IF(B323="", "", "urban biome")</f>
        <v>0</v>
      </c>
      <c r="F323" s="1">
        <f>IF(B323="", "", "animal-associated habitat")</f>
        <v>0</v>
      </c>
      <c r="G323" s="1">
        <f>IF(B323="", "", "mouse")</f>
        <v>0</v>
      </c>
      <c r="H323" s="1">
        <f>IF(B323="", "", "Mus musculus")</f>
        <v>0</v>
      </c>
      <c r="I323" s="1">
        <f>IF(B323="", "", "10090")</f>
        <v>0</v>
      </c>
      <c r="J323" s="2">
        <f>IF(B323="", "", "missing: not provided")</f>
        <v>0</v>
      </c>
      <c r="K323" s="1">
        <f>IF(B323="", "", "g")</f>
        <v>0</v>
      </c>
    </row>
    <row r="324" spans="1:11">
      <c r="A324">
        <f>IF(COUNTBLANK(B324:K324)&lt;&gt;COLUMNS(B324:K324),323,"")</f>
        <v>0</v>
      </c>
      <c r="C324" s="2">
        <f>IF(B324="", "", "missing: not provided")</f>
        <v>0</v>
      </c>
      <c r="D324" s="1">
        <f>IF(B324="", "", "weeks")</f>
        <v>0</v>
      </c>
      <c r="E324" s="1">
        <f>IF(B324="", "", "urban biome")</f>
        <v>0</v>
      </c>
      <c r="F324" s="1">
        <f>IF(B324="", "", "animal-associated habitat")</f>
        <v>0</v>
      </c>
      <c r="G324" s="1">
        <f>IF(B324="", "", "mouse")</f>
        <v>0</v>
      </c>
      <c r="H324" s="1">
        <f>IF(B324="", "", "Mus musculus")</f>
        <v>0</v>
      </c>
      <c r="I324" s="1">
        <f>IF(B324="", "", "10090")</f>
        <v>0</v>
      </c>
      <c r="J324" s="2">
        <f>IF(B324="", "", "missing: not provided")</f>
        <v>0</v>
      </c>
      <c r="K324" s="1">
        <f>IF(B324="", "", "g")</f>
        <v>0</v>
      </c>
    </row>
    <row r="325" spans="1:11">
      <c r="A325">
        <f>IF(COUNTBLANK(B325:K325)&lt;&gt;COLUMNS(B325:K325),324,"")</f>
        <v>0</v>
      </c>
      <c r="C325" s="2">
        <f>IF(B325="", "", "missing: not provided")</f>
        <v>0</v>
      </c>
      <c r="D325" s="1">
        <f>IF(B325="", "", "weeks")</f>
        <v>0</v>
      </c>
      <c r="E325" s="1">
        <f>IF(B325="", "", "urban biome")</f>
        <v>0</v>
      </c>
      <c r="F325" s="1">
        <f>IF(B325="", "", "animal-associated habitat")</f>
        <v>0</v>
      </c>
      <c r="G325" s="1">
        <f>IF(B325="", "", "mouse")</f>
        <v>0</v>
      </c>
      <c r="H325" s="1">
        <f>IF(B325="", "", "Mus musculus")</f>
        <v>0</v>
      </c>
      <c r="I325" s="1">
        <f>IF(B325="", "", "10090")</f>
        <v>0</v>
      </c>
      <c r="J325" s="2">
        <f>IF(B325="", "", "missing: not provided")</f>
        <v>0</v>
      </c>
      <c r="K325" s="1">
        <f>IF(B325="", "", "g")</f>
        <v>0</v>
      </c>
    </row>
    <row r="326" spans="1:11">
      <c r="A326">
        <f>IF(COUNTBLANK(B326:K326)&lt;&gt;COLUMNS(B326:K326),325,"")</f>
        <v>0</v>
      </c>
      <c r="C326" s="2">
        <f>IF(B326="", "", "missing: not provided")</f>
        <v>0</v>
      </c>
      <c r="D326" s="1">
        <f>IF(B326="", "", "weeks")</f>
        <v>0</v>
      </c>
      <c r="E326" s="1">
        <f>IF(B326="", "", "urban biome")</f>
        <v>0</v>
      </c>
      <c r="F326" s="1">
        <f>IF(B326="", "", "animal-associated habitat")</f>
        <v>0</v>
      </c>
      <c r="G326" s="1">
        <f>IF(B326="", "", "mouse")</f>
        <v>0</v>
      </c>
      <c r="H326" s="1">
        <f>IF(B326="", "", "Mus musculus")</f>
        <v>0</v>
      </c>
      <c r="I326" s="1">
        <f>IF(B326="", "", "10090")</f>
        <v>0</v>
      </c>
      <c r="J326" s="2">
        <f>IF(B326="", "", "missing: not provided")</f>
        <v>0</v>
      </c>
      <c r="K326" s="1">
        <f>IF(B326="", "", "g")</f>
        <v>0</v>
      </c>
    </row>
    <row r="327" spans="1:11">
      <c r="A327">
        <f>IF(COUNTBLANK(B327:K327)&lt;&gt;COLUMNS(B327:K327),326,"")</f>
        <v>0</v>
      </c>
      <c r="C327" s="2">
        <f>IF(B327="", "", "missing: not provided")</f>
        <v>0</v>
      </c>
      <c r="D327" s="1">
        <f>IF(B327="", "", "weeks")</f>
        <v>0</v>
      </c>
      <c r="E327" s="1">
        <f>IF(B327="", "", "urban biome")</f>
        <v>0</v>
      </c>
      <c r="F327" s="1">
        <f>IF(B327="", "", "animal-associated habitat")</f>
        <v>0</v>
      </c>
      <c r="G327" s="1">
        <f>IF(B327="", "", "mouse")</f>
        <v>0</v>
      </c>
      <c r="H327" s="1">
        <f>IF(B327="", "", "Mus musculus")</f>
        <v>0</v>
      </c>
      <c r="I327" s="1">
        <f>IF(B327="", "", "10090")</f>
        <v>0</v>
      </c>
      <c r="J327" s="2">
        <f>IF(B327="", "", "missing: not provided")</f>
        <v>0</v>
      </c>
      <c r="K327" s="1">
        <f>IF(B327="", "", "g")</f>
        <v>0</v>
      </c>
    </row>
    <row r="328" spans="1:11">
      <c r="A328">
        <f>IF(COUNTBLANK(B328:K328)&lt;&gt;COLUMNS(B328:K328),327,"")</f>
        <v>0</v>
      </c>
      <c r="C328" s="2">
        <f>IF(B328="", "", "missing: not provided")</f>
        <v>0</v>
      </c>
      <c r="D328" s="1">
        <f>IF(B328="", "", "weeks")</f>
        <v>0</v>
      </c>
      <c r="E328" s="1">
        <f>IF(B328="", "", "urban biome")</f>
        <v>0</v>
      </c>
      <c r="F328" s="1">
        <f>IF(B328="", "", "animal-associated habitat")</f>
        <v>0</v>
      </c>
      <c r="G328" s="1">
        <f>IF(B328="", "", "mouse")</f>
        <v>0</v>
      </c>
      <c r="H328" s="1">
        <f>IF(B328="", "", "Mus musculus")</f>
        <v>0</v>
      </c>
      <c r="I328" s="1">
        <f>IF(B328="", "", "10090")</f>
        <v>0</v>
      </c>
      <c r="J328" s="2">
        <f>IF(B328="", "", "missing: not provided")</f>
        <v>0</v>
      </c>
      <c r="K328" s="1">
        <f>IF(B328="", "", "g")</f>
        <v>0</v>
      </c>
    </row>
    <row r="329" spans="1:11">
      <c r="A329">
        <f>IF(COUNTBLANK(B329:K329)&lt;&gt;COLUMNS(B329:K329),328,"")</f>
        <v>0</v>
      </c>
      <c r="C329" s="2">
        <f>IF(B329="", "", "missing: not provided")</f>
        <v>0</v>
      </c>
      <c r="D329" s="1">
        <f>IF(B329="", "", "weeks")</f>
        <v>0</v>
      </c>
      <c r="E329" s="1">
        <f>IF(B329="", "", "urban biome")</f>
        <v>0</v>
      </c>
      <c r="F329" s="1">
        <f>IF(B329="", "", "animal-associated habitat")</f>
        <v>0</v>
      </c>
      <c r="G329" s="1">
        <f>IF(B329="", "", "mouse")</f>
        <v>0</v>
      </c>
      <c r="H329" s="1">
        <f>IF(B329="", "", "Mus musculus")</f>
        <v>0</v>
      </c>
      <c r="I329" s="1">
        <f>IF(B329="", "", "10090")</f>
        <v>0</v>
      </c>
      <c r="J329" s="2">
        <f>IF(B329="", "", "missing: not provided")</f>
        <v>0</v>
      </c>
      <c r="K329" s="1">
        <f>IF(B329="", "", "g")</f>
        <v>0</v>
      </c>
    </row>
    <row r="330" spans="1:11">
      <c r="A330">
        <f>IF(COUNTBLANK(B330:K330)&lt;&gt;COLUMNS(B330:K330),329,"")</f>
        <v>0</v>
      </c>
      <c r="C330" s="2">
        <f>IF(B330="", "", "missing: not provided")</f>
        <v>0</v>
      </c>
      <c r="D330" s="1">
        <f>IF(B330="", "", "weeks")</f>
        <v>0</v>
      </c>
      <c r="E330" s="1">
        <f>IF(B330="", "", "urban biome")</f>
        <v>0</v>
      </c>
      <c r="F330" s="1">
        <f>IF(B330="", "", "animal-associated habitat")</f>
        <v>0</v>
      </c>
      <c r="G330" s="1">
        <f>IF(B330="", "", "mouse")</f>
        <v>0</v>
      </c>
      <c r="H330" s="1">
        <f>IF(B330="", "", "Mus musculus")</f>
        <v>0</v>
      </c>
      <c r="I330" s="1">
        <f>IF(B330="", "", "10090")</f>
        <v>0</v>
      </c>
      <c r="J330" s="2">
        <f>IF(B330="", "", "missing: not provided")</f>
        <v>0</v>
      </c>
      <c r="K330" s="1">
        <f>IF(B330="", "", "g")</f>
        <v>0</v>
      </c>
    </row>
    <row r="331" spans="1:11">
      <c r="A331">
        <f>IF(COUNTBLANK(B331:K331)&lt;&gt;COLUMNS(B331:K331),330,"")</f>
        <v>0</v>
      </c>
      <c r="C331" s="2">
        <f>IF(B331="", "", "missing: not provided")</f>
        <v>0</v>
      </c>
      <c r="D331" s="1">
        <f>IF(B331="", "", "weeks")</f>
        <v>0</v>
      </c>
      <c r="E331" s="1">
        <f>IF(B331="", "", "urban biome")</f>
        <v>0</v>
      </c>
      <c r="F331" s="1">
        <f>IF(B331="", "", "animal-associated habitat")</f>
        <v>0</v>
      </c>
      <c r="G331" s="1">
        <f>IF(B331="", "", "mouse")</f>
        <v>0</v>
      </c>
      <c r="H331" s="1">
        <f>IF(B331="", "", "Mus musculus")</f>
        <v>0</v>
      </c>
      <c r="I331" s="1">
        <f>IF(B331="", "", "10090")</f>
        <v>0</v>
      </c>
      <c r="J331" s="2">
        <f>IF(B331="", "", "missing: not provided")</f>
        <v>0</v>
      </c>
      <c r="K331" s="1">
        <f>IF(B331="", "", "g")</f>
        <v>0</v>
      </c>
    </row>
    <row r="332" spans="1:11">
      <c r="A332">
        <f>IF(COUNTBLANK(B332:K332)&lt;&gt;COLUMNS(B332:K332),331,"")</f>
        <v>0</v>
      </c>
      <c r="C332" s="2">
        <f>IF(B332="", "", "missing: not provided")</f>
        <v>0</v>
      </c>
      <c r="D332" s="1">
        <f>IF(B332="", "", "weeks")</f>
        <v>0</v>
      </c>
      <c r="E332" s="1">
        <f>IF(B332="", "", "urban biome")</f>
        <v>0</v>
      </c>
      <c r="F332" s="1">
        <f>IF(B332="", "", "animal-associated habitat")</f>
        <v>0</v>
      </c>
      <c r="G332" s="1">
        <f>IF(B332="", "", "mouse")</f>
        <v>0</v>
      </c>
      <c r="H332" s="1">
        <f>IF(B332="", "", "Mus musculus")</f>
        <v>0</v>
      </c>
      <c r="I332" s="1">
        <f>IF(B332="", "", "10090")</f>
        <v>0</v>
      </c>
      <c r="J332" s="2">
        <f>IF(B332="", "", "missing: not provided")</f>
        <v>0</v>
      </c>
      <c r="K332" s="1">
        <f>IF(B332="", "", "g")</f>
        <v>0</v>
      </c>
    </row>
    <row r="333" spans="1:11">
      <c r="A333">
        <f>IF(COUNTBLANK(B333:K333)&lt;&gt;COLUMNS(B333:K333),332,"")</f>
        <v>0</v>
      </c>
      <c r="C333" s="2">
        <f>IF(B333="", "", "missing: not provided")</f>
        <v>0</v>
      </c>
      <c r="D333" s="1">
        <f>IF(B333="", "", "weeks")</f>
        <v>0</v>
      </c>
      <c r="E333" s="1">
        <f>IF(B333="", "", "urban biome")</f>
        <v>0</v>
      </c>
      <c r="F333" s="1">
        <f>IF(B333="", "", "animal-associated habitat")</f>
        <v>0</v>
      </c>
      <c r="G333" s="1">
        <f>IF(B333="", "", "mouse")</f>
        <v>0</v>
      </c>
      <c r="H333" s="1">
        <f>IF(B333="", "", "Mus musculus")</f>
        <v>0</v>
      </c>
      <c r="I333" s="1">
        <f>IF(B333="", "", "10090")</f>
        <v>0</v>
      </c>
      <c r="J333" s="2">
        <f>IF(B333="", "", "missing: not provided")</f>
        <v>0</v>
      </c>
      <c r="K333" s="1">
        <f>IF(B333="", "", "g")</f>
        <v>0</v>
      </c>
    </row>
    <row r="334" spans="1:11">
      <c r="A334">
        <f>IF(COUNTBLANK(B334:K334)&lt;&gt;COLUMNS(B334:K334),333,"")</f>
        <v>0</v>
      </c>
      <c r="C334" s="2">
        <f>IF(B334="", "", "missing: not provided")</f>
        <v>0</v>
      </c>
      <c r="D334" s="1">
        <f>IF(B334="", "", "weeks")</f>
        <v>0</v>
      </c>
      <c r="E334" s="1">
        <f>IF(B334="", "", "urban biome")</f>
        <v>0</v>
      </c>
      <c r="F334" s="1">
        <f>IF(B334="", "", "animal-associated habitat")</f>
        <v>0</v>
      </c>
      <c r="G334" s="1">
        <f>IF(B334="", "", "mouse")</f>
        <v>0</v>
      </c>
      <c r="H334" s="1">
        <f>IF(B334="", "", "Mus musculus")</f>
        <v>0</v>
      </c>
      <c r="I334" s="1">
        <f>IF(B334="", "", "10090")</f>
        <v>0</v>
      </c>
      <c r="J334" s="2">
        <f>IF(B334="", "", "missing: not provided")</f>
        <v>0</v>
      </c>
      <c r="K334" s="1">
        <f>IF(B334="", "", "g")</f>
        <v>0</v>
      </c>
    </row>
    <row r="335" spans="1:11">
      <c r="A335">
        <f>IF(COUNTBLANK(B335:K335)&lt;&gt;COLUMNS(B335:K335),334,"")</f>
        <v>0</v>
      </c>
      <c r="C335" s="2">
        <f>IF(B335="", "", "missing: not provided")</f>
        <v>0</v>
      </c>
      <c r="D335" s="1">
        <f>IF(B335="", "", "weeks")</f>
        <v>0</v>
      </c>
      <c r="E335" s="1">
        <f>IF(B335="", "", "urban biome")</f>
        <v>0</v>
      </c>
      <c r="F335" s="1">
        <f>IF(B335="", "", "animal-associated habitat")</f>
        <v>0</v>
      </c>
      <c r="G335" s="1">
        <f>IF(B335="", "", "mouse")</f>
        <v>0</v>
      </c>
      <c r="H335" s="1">
        <f>IF(B335="", "", "Mus musculus")</f>
        <v>0</v>
      </c>
      <c r="I335" s="1">
        <f>IF(B335="", "", "10090")</f>
        <v>0</v>
      </c>
      <c r="J335" s="2">
        <f>IF(B335="", "", "missing: not provided")</f>
        <v>0</v>
      </c>
      <c r="K335" s="1">
        <f>IF(B335="", "", "g")</f>
        <v>0</v>
      </c>
    </row>
    <row r="336" spans="1:11">
      <c r="A336">
        <f>IF(COUNTBLANK(B336:K336)&lt;&gt;COLUMNS(B336:K336),335,"")</f>
        <v>0</v>
      </c>
      <c r="C336" s="2">
        <f>IF(B336="", "", "missing: not provided")</f>
        <v>0</v>
      </c>
      <c r="D336" s="1">
        <f>IF(B336="", "", "weeks")</f>
        <v>0</v>
      </c>
      <c r="E336" s="1">
        <f>IF(B336="", "", "urban biome")</f>
        <v>0</v>
      </c>
      <c r="F336" s="1">
        <f>IF(B336="", "", "animal-associated habitat")</f>
        <v>0</v>
      </c>
      <c r="G336" s="1">
        <f>IF(B336="", "", "mouse")</f>
        <v>0</v>
      </c>
      <c r="H336" s="1">
        <f>IF(B336="", "", "Mus musculus")</f>
        <v>0</v>
      </c>
      <c r="I336" s="1">
        <f>IF(B336="", "", "10090")</f>
        <v>0</v>
      </c>
      <c r="J336" s="2">
        <f>IF(B336="", "", "missing: not provided")</f>
        <v>0</v>
      </c>
      <c r="K336" s="1">
        <f>IF(B336="", "", "g")</f>
        <v>0</v>
      </c>
    </row>
    <row r="337" spans="1:11">
      <c r="A337">
        <f>IF(COUNTBLANK(B337:K337)&lt;&gt;COLUMNS(B337:K337),336,"")</f>
        <v>0</v>
      </c>
      <c r="C337" s="2">
        <f>IF(B337="", "", "missing: not provided")</f>
        <v>0</v>
      </c>
      <c r="D337" s="1">
        <f>IF(B337="", "", "weeks")</f>
        <v>0</v>
      </c>
      <c r="E337" s="1">
        <f>IF(B337="", "", "urban biome")</f>
        <v>0</v>
      </c>
      <c r="F337" s="1">
        <f>IF(B337="", "", "animal-associated habitat")</f>
        <v>0</v>
      </c>
      <c r="G337" s="1">
        <f>IF(B337="", "", "mouse")</f>
        <v>0</v>
      </c>
      <c r="H337" s="1">
        <f>IF(B337="", "", "Mus musculus")</f>
        <v>0</v>
      </c>
      <c r="I337" s="1">
        <f>IF(B337="", "", "10090")</f>
        <v>0</v>
      </c>
      <c r="J337" s="2">
        <f>IF(B337="", "", "missing: not provided")</f>
        <v>0</v>
      </c>
      <c r="K337" s="1">
        <f>IF(B337="", "", "g")</f>
        <v>0</v>
      </c>
    </row>
    <row r="338" spans="1:11">
      <c r="A338">
        <f>IF(COUNTBLANK(B338:K338)&lt;&gt;COLUMNS(B338:K338),337,"")</f>
        <v>0</v>
      </c>
      <c r="C338" s="2">
        <f>IF(B338="", "", "missing: not provided")</f>
        <v>0</v>
      </c>
      <c r="D338" s="1">
        <f>IF(B338="", "", "weeks")</f>
        <v>0</v>
      </c>
      <c r="E338" s="1">
        <f>IF(B338="", "", "urban biome")</f>
        <v>0</v>
      </c>
      <c r="F338" s="1">
        <f>IF(B338="", "", "animal-associated habitat")</f>
        <v>0</v>
      </c>
      <c r="G338" s="1">
        <f>IF(B338="", "", "mouse")</f>
        <v>0</v>
      </c>
      <c r="H338" s="1">
        <f>IF(B338="", "", "Mus musculus")</f>
        <v>0</v>
      </c>
      <c r="I338" s="1">
        <f>IF(B338="", "", "10090")</f>
        <v>0</v>
      </c>
      <c r="J338" s="2">
        <f>IF(B338="", "", "missing: not provided")</f>
        <v>0</v>
      </c>
      <c r="K338" s="1">
        <f>IF(B338="", "", "g")</f>
        <v>0</v>
      </c>
    </row>
    <row r="339" spans="1:11">
      <c r="A339">
        <f>IF(COUNTBLANK(B339:K339)&lt;&gt;COLUMNS(B339:K339),338,"")</f>
        <v>0</v>
      </c>
      <c r="C339" s="2">
        <f>IF(B339="", "", "missing: not provided")</f>
        <v>0</v>
      </c>
      <c r="D339" s="1">
        <f>IF(B339="", "", "weeks")</f>
        <v>0</v>
      </c>
      <c r="E339" s="1">
        <f>IF(B339="", "", "urban biome")</f>
        <v>0</v>
      </c>
      <c r="F339" s="1">
        <f>IF(B339="", "", "animal-associated habitat")</f>
        <v>0</v>
      </c>
      <c r="G339" s="1">
        <f>IF(B339="", "", "mouse")</f>
        <v>0</v>
      </c>
      <c r="H339" s="1">
        <f>IF(B339="", "", "Mus musculus")</f>
        <v>0</v>
      </c>
      <c r="I339" s="1">
        <f>IF(B339="", "", "10090")</f>
        <v>0</v>
      </c>
      <c r="J339" s="2">
        <f>IF(B339="", "", "missing: not provided")</f>
        <v>0</v>
      </c>
      <c r="K339" s="1">
        <f>IF(B339="", "", "g")</f>
        <v>0</v>
      </c>
    </row>
    <row r="340" spans="1:11">
      <c r="A340">
        <f>IF(COUNTBLANK(B340:K340)&lt;&gt;COLUMNS(B340:K340),339,"")</f>
        <v>0</v>
      </c>
      <c r="C340" s="2">
        <f>IF(B340="", "", "missing: not provided")</f>
        <v>0</v>
      </c>
      <c r="D340" s="1">
        <f>IF(B340="", "", "weeks")</f>
        <v>0</v>
      </c>
      <c r="E340" s="1">
        <f>IF(B340="", "", "urban biome")</f>
        <v>0</v>
      </c>
      <c r="F340" s="1">
        <f>IF(B340="", "", "animal-associated habitat")</f>
        <v>0</v>
      </c>
      <c r="G340" s="1">
        <f>IF(B340="", "", "mouse")</f>
        <v>0</v>
      </c>
      <c r="H340" s="1">
        <f>IF(B340="", "", "Mus musculus")</f>
        <v>0</v>
      </c>
      <c r="I340" s="1">
        <f>IF(B340="", "", "10090")</f>
        <v>0</v>
      </c>
      <c r="J340" s="2">
        <f>IF(B340="", "", "missing: not provided")</f>
        <v>0</v>
      </c>
      <c r="K340" s="1">
        <f>IF(B340="", "", "g")</f>
        <v>0</v>
      </c>
    </row>
    <row r="341" spans="1:11">
      <c r="A341">
        <f>IF(COUNTBLANK(B341:K341)&lt;&gt;COLUMNS(B341:K341),340,"")</f>
        <v>0</v>
      </c>
      <c r="C341" s="2">
        <f>IF(B341="", "", "missing: not provided")</f>
        <v>0</v>
      </c>
      <c r="D341" s="1">
        <f>IF(B341="", "", "weeks")</f>
        <v>0</v>
      </c>
      <c r="E341" s="1">
        <f>IF(B341="", "", "urban biome")</f>
        <v>0</v>
      </c>
      <c r="F341" s="1">
        <f>IF(B341="", "", "animal-associated habitat")</f>
        <v>0</v>
      </c>
      <c r="G341" s="1">
        <f>IF(B341="", "", "mouse")</f>
        <v>0</v>
      </c>
      <c r="H341" s="1">
        <f>IF(B341="", "", "Mus musculus")</f>
        <v>0</v>
      </c>
      <c r="I341" s="1">
        <f>IF(B341="", "", "10090")</f>
        <v>0</v>
      </c>
      <c r="J341" s="2">
        <f>IF(B341="", "", "missing: not provided")</f>
        <v>0</v>
      </c>
      <c r="K341" s="1">
        <f>IF(B341="", "", "g")</f>
        <v>0</v>
      </c>
    </row>
    <row r="342" spans="1:11">
      <c r="A342">
        <f>IF(COUNTBLANK(B342:K342)&lt;&gt;COLUMNS(B342:K342),341,"")</f>
        <v>0</v>
      </c>
      <c r="C342" s="2">
        <f>IF(B342="", "", "missing: not provided")</f>
        <v>0</v>
      </c>
      <c r="D342" s="1">
        <f>IF(B342="", "", "weeks")</f>
        <v>0</v>
      </c>
      <c r="E342" s="1">
        <f>IF(B342="", "", "urban biome")</f>
        <v>0</v>
      </c>
      <c r="F342" s="1">
        <f>IF(B342="", "", "animal-associated habitat")</f>
        <v>0</v>
      </c>
      <c r="G342" s="1">
        <f>IF(B342="", "", "mouse")</f>
        <v>0</v>
      </c>
      <c r="H342" s="1">
        <f>IF(B342="", "", "Mus musculus")</f>
        <v>0</v>
      </c>
      <c r="I342" s="1">
        <f>IF(B342="", "", "10090")</f>
        <v>0</v>
      </c>
      <c r="J342" s="2">
        <f>IF(B342="", "", "missing: not provided")</f>
        <v>0</v>
      </c>
      <c r="K342" s="1">
        <f>IF(B342="", "", "g")</f>
        <v>0</v>
      </c>
    </row>
    <row r="343" spans="1:11">
      <c r="A343">
        <f>IF(COUNTBLANK(B343:K343)&lt;&gt;COLUMNS(B343:K343),342,"")</f>
        <v>0</v>
      </c>
      <c r="C343" s="2">
        <f>IF(B343="", "", "missing: not provided")</f>
        <v>0</v>
      </c>
      <c r="D343" s="1">
        <f>IF(B343="", "", "weeks")</f>
        <v>0</v>
      </c>
      <c r="E343" s="1">
        <f>IF(B343="", "", "urban biome")</f>
        <v>0</v>
      </c>
      <c r="F343" s="1">
        <f>IF(B343="", "", "animal-associated habitat")</f>
        <v>0</v>
      </c>
      <c r="G343" s="1">
        <f>IF(B343="", "", "mouse")</f>
        <v>0</v>
      </c>
      <c r="H343" s="1">
        <f>IF(B343="", "", "Mus musculus")</f>
        <v>0</v>
      </c>
      <c r="I343" s="1">
        <f>IF(B343="", "", "10090")</f>
        <v>0</v>
      </c>
      <c r="J343" s="2">
        <f>IF(B343="", "", "missing: not provided")</f>
        <v>0</v>
      </c>
      <c r="K343" s="1">
        <f>IF(B343="", "", "g")</f>
        <v>0</v>
      </c>
    </row>
    <row r="344" spans="1:11">
      <c r="A344">
        <f>IF(COUNTBLANK(B344:K344)&lt;&gt;COLUMNS(B344:K344),343,"")</f>
        <v>0</v>
      </c>
      <c r="C344" s="2">
        <f>IF(B344="", "", "missing: not provided")</f>
        <v>0</v>
      </c>
      <c r="D344" s="1">
        <f>IF(B344="", "", "weeks")</f>
        <v>0</v>
      </c>
      <c r="E344" s="1">
        <f>IF(B344="", "", "urban biome")</f>
        <v>0</v>
      </c>
      <c r="F344" s="1">
        <f>IF(B344="", "", "animal-associated habitat")</f>
        <v>0</v>
      </c>
      <c r="G344" s="1">
        <f>IF(B344="", "", "mouse")</f>
        <v>0</v>
      </c>
      <c r="H344" s="1">
        <f>IF(B344="", "", "Mus musculus")</f>
        <v>0</v>
      </c>
      <c r="I344" s="1">
        <f>IF(B344="", "", "10090")</f>
        <v>0</v>
      </c>
      <c r="J344" s="2">
        <f>IF(B344="", "", "missing: not provided")</f>
        <v>0</v>
      </c>
      <c r="K344" s="1">
        <f>IF(B344="", "", "g")</f>
        <v>0</v>
      </c>
    </row>
    <row r="345" spans="1:11">
      <c r="A345">
        <f>IF(COUNTBLANK(B345:K345)&lt;&gt;COLUMNS(B345:K345),344,"")</f>
        <v>0</v>
      </c>
      <c r="C345" s="2">
        <f>IF(B345="", "", "missing: not provided")</f>
        <v>0</v>
      </c>
      <c r="D345" s="1">
        <f>IF(B345="", "", "weeks")</f>
        <v>0</v>
      </c>
      <c r="E345" s="1">
        <f>IF(B345="", "", "urban biome")</f>
        <v>0</v>
      </c>
      <c r="F345" s="1">
        <f>IF(B345="", "", "animal-associated habitat")</f>
        <v>0</v>
      </c>
      <c r="G345" s="1">
        <f>IF(B345="", "", "mouse")</f>
        <v>0</v>
      </c>
      <c r="H345" s="1">
        <f>IF(B345="", "", "Mus musculus")</f>
        <v>0</v>
      </c>
      <c r="I345" s="1">
        <f>IF(B345="", "", "10090")</f>
        <v>0</v>
      </c>
      <c r="J345" s="2">
        <f>IF(B345="", "", "missing: not provided")</f>
        <v>0</v>
      </c>
      <c r="K345" s="1">
        <f>IF(B345="", "", "g")</f>
        <v>0</v>
      </c>
    </row>
    <row r="346" spans="1:11">
      <c r="A346">
        <f>IF(COUNTBLANK(B346:K346)&lt;&gt;COLUMNS(B346:K346),345,"")</f>
        <v>0</v>
      </c>
      <c r="C346" s="2">
        <f>IF(B346="", "", "missing: not provided")</f>
        <v>0</v>
      </c>
      <c r="D346" s="1">
        <f>IF(B346="", "", "weeks")</f>
        <v>0</v>
      </c>
      <c r="E346" s="1">
        <f>IF(B346="", "", "urban biome")</f>
        <v>0</v>
      </c>
      <c r="F346" s="1">
        <f>IF(B346="", "", "animal-associated habitat")</f>
        <v>0</v>
      </c>
      <c r="G346" s="1">
        <f>IF(B346="", "", "mouse")</f>
        <v>0</v>
      </c>
      <c r="H346" s="1">
        <f>IF(B346="", "", "Mus musculus")</f>
        <v>0</v>
      </c>
      <c r="I346" s="1">
        <f>IF(B346="", "", "10090")</f>
        <v>0</v>
      </c>
      <c r="J346" s="2">
        <f>IF(B346="", "", "missing: not provided")</f>
        <v>0</v>
      </c>
      <c r="K346" s="1">
        <f>IF(B346="", "", "g")</f>
        <v>0</v>
      </c>
    </row>
    <row r="347" spans="1:11">
      <c r="A347">
        <f>IF(COUNTBLANK(B347:K347)&lt;&gt;COLUMNS(B347:K347),346,"")</f>
        <v>0</v>
      </c>
      <c r="C347" s="2">
        <f>IF(B347="", "", "missing: not provided")</f>
        <v>0</v>
      </c>
      <c r="D347" s="1">
        <f>IF(B347="", "", "weeks")</f>
        <v>0</v>
      </c>
      <c r="E347" s="1">
        <f>IF(B347="", "", "urban biome")</f>
        <v>0</v>
      </c>
      <c r="F347" s="1">
        <f>IF(B347="", "", "animal-associated habitat")</f>
        <v>0</v>
      </c>
      <c r="G347" s="1">
        <f>IF(B347="", "", "mouse")</f>
        <v>0</v>
      </c>
      <c r="H347" s="1">
        <f>IF(B347="", "", "Mus musculus")</f>
        <v>0</v>
      </c>
      <c r="I347" s="1">
        <f>IF(B347="", "", "10090")</f>
        <v>0</v>
      </c>
      <c r="J347" s="2">
        <f>IF(B347="", "", "missing: not provided")</f>
        <v>0</v>
      </c>
      <c r="K347" s="1">
        <f>IF(B347="", "", "g")</f>
        <v>0</v>
      </c>
    </row>
    <row r="348" spans="1:11">
      <c r="A348">
        <f>IF(COUNTBLANK(B348:K348)&lt;&gt;COLUMNS(B348:K348),347,"")</f>
        <v>0</v>
      </c>
      <c r="C348" s="2">
        <f>IF(B348="", "", "missing: not provided")</f>
        <v>0</v>
      </c>
      <c r="D348" s="1">
        <f>IF(B348="", "", "weeks")</f>
        <v>0</v>
      </c>
      <c r="E348" s="1">
        <f>IF(B348="", "", "urban biome")</f>
        <v>0</v>
      </c>
      <c r="F348" s="1">
        <f>IF(B348="", "", "animal-associated habitat")</f>
        <v>0</v>
      </c>
      <c r="G348" s="1">
        <f>IF(B348="", "", "mouse")</f>
        <v>0</v>
      </c>
      <c r="H348" s="1">
        <f>IF(B348="", "", "Mus musculus")</f>
        <v>0</v>
      </c>
      <c r="I348" s="1">
        <f>IF(B348="", "", "10090")</f>
        <v>0</v>
      </c>
      <c r="J348" s="2">
        <f>IF(B348="", "", "missing: not provided")</f>
        <v>0</v>
      </c>
      <c r="K348" s="1">
        <f>IF(B348="", "", "g")</f>
        <v>0</v>
      </c>
    </row>
    <row r="349" spans="1:11">
      <c r="A349">
        <f>IF(COUNTBLANK(B349:K349)&lt;&gt;COLUMNS(B349:K349),348,"")</f>
        <v>0</v>
      </c>
      <c r="C349" s="2">
        <f>IF(B349="", "", "missing: not provided")</f>
        <v>0</v>
      </c>
      <c r="D349" s="1">
        <f>IF(B349="", "", "weeks")</f>
        <v>0</v>
      </c>
      <c r="E349" s="1">
        <f>IF(B349="", "", "urban biome")</f>
        <v>0</v>
      </c>
      <c r="F349" s="1">
        <f>IF(B349="", "", "animal-associated habitat")</f>
        <v>0</v>
      </c>
      <c r="G349" s="1">
        <f>IF(B349="", "", "mouse")</f>
        <v>0</v>
      </c>
      <c r="H349" s="1">
        <f>IF(B349="", "", "Mus musculus")</f>
        <v>0</v>
      </c>
      <c r="I349" s="1">
        <f>IF(B349="", "", "10090")</f>
        <v>0</v>
      </c>
      <c r="J349" s="2">
        <f>IF(B349="", "", "missing: not provided")</f>
        <v>0</v>
      </c>
      <c r="K349" s="1">
        <f>IF(B349="", "", "g")</f>
        <v>0</v>
      </c>
    </row>
    <row r="350" spans="1:11">
      <c r="A350">
        <f>IF(COUNTBLANK(B350:K350)&lt;&gt;COLUMNS(B350:K350),349,"")</f>
        <v>0</v>
      </c>
      <c r="C350" s="2">
        <f>IF(B350="", "", "missing: not provided")</f>
        <v>0</v>
      </c>
      <c r="D350" s="1">
        <f>IF(B350="", "", "weeks")</f>
        <v>0</v>
      </c>
      <c r="E350" s="1">
        <f>IF(B350="", "", "urban biome")</f>
        <v>0</v>
      </c>
      <c r="F350" s="1">
        <f>IF(B350="", "", "animal-associated habitat")</f>
        <v>0</v>
      </c>
      <c r="G350" s="1">
        <f>IF(B350="", "", "mouse")</f>
        <v>0</v>
      </c>
      <c r="H350" s="1">
        <f>IF(B350="", "", "Mus musculus")</f>
        <v>0</v>
      </c>
      <c r="I350" s="1">
        <f>IF(B350="", "", "10090")</f>
        <v>0</v>
      </c>
      <c r="J350" s="2">
        <f>IF(B350="", "", "missing: not provided")</f>
        <v>0</v>
      </c>
      <c r="K350" s="1">
        <f>IF(B350="", "", "g")</f>
        <v>0</v>
      </c>
    </row>
    <row r="351" spans="1:11">
      <c r="A351">
        <f>IF(COUNTBLANK(B351:K351)&lt;&gt;COLUMNS(B351:K351),350,"")</f>
        <v>0</v>
      </c>
      <c r="C351" s="2">
        <f>IF(B351="", "", "missing: not provided")</f>
        <v>0</v>
      </c>
      <c r="D351" s="1">
        <f>IF(B351="", "", "weeks")</f>
        <v>0</v>
      </c>
      <c r="E351" s="1">
        <f>IF(B351="", "", "urban biome")</f>
        <v>0</v>
      </c>
      <c r="F351" s="1">
        <f>IF(B351="", "", "animal-associated habitat")</f>
        <v>0</v>
      </c>
      <c r="G351" s="1">
        <f>IF(B351="", "", "mouse")</f>
        <v>0</v>
      </c>
      <c r="H351" s="1">
        <f>IF(B351="", "", "Mus musculus")</f>
        <v>0</v>
      </c>
      <c r="I351" s="1">
        <f>IF(B351="", "", "10090")</f>
        <v>0</v>
      </c>
      <c r="J351" s="2">
        <f>IF(B351="", "", "missing: not provided")</f>
        <v>0</v>
      </c>
      <c r="K351" s="1">
        <f>IF(B351="", "", "g")</f>
        <v>0</v>
      </c>
    </row>
    <row r="352" spans="1:11">
      <c r="A352">
        <f>IF(COUNTBLANK(B352:K352)&lt;&gt;COLUMNS(B352:K352),351,"")</f>
        <v>0</v>
      </c>
      <c r="C352" s="2">
        <f>IF(B352="", "", "missing: not provided")</f>
        <v>0</v>
      </c>
      <c r="D352" s="1">
        <f>IF(B352="", "", "weeks")</f>
        <v>0</v>
      </c>
      <c r="E352" s="1">
        <f>IF(B352="", "", "urban biome")</f>
        <v>0</v>
      </c>
      <c r="F352" s="1">
        <f>IF(B352="", "", "animal-associated habitat")</f>
        <v>0</v>
      </c>
      <c r="G352" s="1">
        <f>IF(B352="", "", "mouse")</f>
        <v>0</v>
      </c>
      <c r="H352" s="1">
        <f>IF(B352="", "", "Mus musculus")</f>
        <v>0</v>
      </c>
      <c r="I352" s="1">
        <f>IF(B352="", "", "10090")</f>
        <v>0</v>
      </c>
      <c r="J352" s="2">
        <f>IF(B352="", "", "missing: not provided")</f>
        <v>0</v>
      </c>
      <c r="K352" s="1">
        <f>IF(B352="", "", "g")</f>
        <v>0</v>
      </c>
    </row>
    <row r="353" spans="1:11">
      <c r="A353">
        <f>IF(COUNTBLANK(B353:K353)&lt;&gt;COLUMNS(B353:K353),352,"")</f>
        <v>0</v>
      </c>
      <c r="C353" s="2">
        <f>IF(B353="", "", "missing: not provided")</f>
        <v>0</v>
      </c>
      <c r="D353" s="1">
        <f>IF(B353="", "", "weeks")</f>
        <v>0</v>
      </c>
      <c r="E353" s="1">
        <f>IF(B353="", "", "urban biome")</f>
        <v>0</v>
      </c>
      <c r="F353" s="1">
        <f>IF(B353="", "", "animal-associated habitat")</f>
        <v>0</v>
      </c>
      <c r="G353" s="1">
        <f>IF(B353="", "", "mouse")</f>
        <v>0</v>
      </c>
      <c r="H353" s="1">
        <f>IF(B353="", "", "Mus musculus")</f>
        <v>0</v>
      </c>
      <c r="I353" s="1">
        <f>IF(B353="", "", "10090")</f>
        <v>0</v>
      </c>
      <c r="J353" s="2">
        <f>IF(B353="", "", "missing: not provided")</f>
        <v>0</v>
      </c>
      <c r="K353" s="1">
        <f>IF(B353="", "", "g")</f>
        <v>0</v>
      </c>
    </row>
    <row r="354" spans="1:11">
      <c r="A354">
        <f>IF(COUNTBLANK(B354:K354)&lt;&gt;COLUMNS(B354:K354),353,"")</f>
        <v>0</v>
      </c>
      <c r="C354" s="2">
        <f>IF(B354="", "", "missing: not provided")</f>
        <v>0</v>
      </c>
      <c r="D354" s="1">
        <f>IF(B354="", "", "weeks")</f>
        <v>0</v>
      </c>
      <c r="E354" s="1">
        <f>IF(B354="", "", "urban biome")</f>
        <v>0</v>
      </c>
      <c r="F354" s="1">
        <f>IF(B354="", "", "animal-associated habitat")</f>
        <v>0</v>
      </c>
      <c r="G354" s="1">
        <f>IF(B354="", "", "mouse")</f>
        <v>0</v>
      </c>
      <c r="H354" s="1">
        <f>IF(B354="", "", "Mus musculus")</f>
        <v>0</v>
      </c>
      <c r="I354" s="1">
        <f>IF(B354="", "", "10090")</f>
        <v>0</v>
      </c>
      <c r="J354" s="2">
        <f>IF(B354="", "", "missing: not provided")</f>
        <v>0</v>
      </c>
      <c r="K354" s="1">
        <f>IF(B354="", "", "g")</f>
        <v>0</v>
      </c>
    </row>
    <row r="355" spans="1:11">
      <c r="A355">
        <f>IF(COUNTBLANK(B355:K355)&lt;&gt;COLUMNS(B355:K355),354,"")</f>
        <v>0</v>
      </c>
      <c r="C355" s="2">
        <f>IF(B355="", "", "missing: not provided")</f>
        <v>0</v>
      </c>
      <c r="D355" s="1">
        <f>IF(B355="", "", "weeks")</f>
        <v>0</v>
      </c>
      <c r="E355" s="1">
        <f>IF(B355="", "", "urban biome")</f>
        <v>0</v>
      </c>
      <c r="F355" s="1">
        <f>IF(B355="", "", "animal-associated habitat")</f>
        <v>0</v>
      </c>
      <c r="G355" s="1">
        <f>IF(B355="", "", "mouse")</f>
        <v>0</v>
      </c>
      <c r="H355" s="1">
        <f>IF(B355="", "", "Mus musculus")</f>
        <v>0</v>
      </c>
      <c r="I355" s="1">
        <f>IF(B355="", "", "10090")</f>
        <v>0</v>
      </c>
      <c r="J355" s="2">
        <f>IF(B355="", "", "missing: not provided")</f>
        <v>0</v>
      </c>
      <c r="K355" s="1">
        <f>IF(B355="", "", "g")</f>
        <v>0</v>
      </c>
    </row>
    <row r="356" spans="1:11">
      <c r="A356">
        <f>IF(COUNTBLANK(B356:K356)&lt;&gt;COLUMNS(B356:K356),355,"")</f>
        <v>0</v>
      </c>
      <c r="C356" s="2">
        <f>IF(B356="", "", "missing: not provided")</f>
        <v>0</v>
      </c>
      <c r="D356" s="1">
        <f>IF(B356="", "", "weeks")</f>
        <v>0</v>
      </c>
      <c r="E356" s="1">
        <f>IF(B356="", "", "urban biome")</f>
        <v>0</v>
      </c>
      <c r="F356" s="1">
        <f>IF(B356="", "", "animal-associated habitat")</f>
        <v>0</v>
      </c>
      <c r="G356" s="1">
        <f>IF(B356="", "", "mouse")</f>
        <v>0</v>
      </c>
      <c r="H356" s="1">
        <f>IF(B356="", "", "Mus musculus")</f>
        <v>0</v>
      </c>
      <c r="I356" s="1">
        <f>IF(B356="", "", "10090")</f>
        <v>0</v>
      </c>
      <c r="J356" s="2">
        <f>IF(B356="", "", "missing: not provided")</f>
        <v>0</v>
      </c>
      <c r="K356" s="1">
        <f>IF(B356="", "", "g")</f>
        <v>0</v>
      </c>
    </row>
    <row r="357" spans="1:11">
      <c r="A357">
        <f>IF(COUNTBLANK(B357:K357)&lt;&gt;COLUMNS(B357:K357),356,"")</f>
        <v>0</v>
      </c>
      <c r="C357" s="2">
        <f>IF(B357="", "", "missing: not provided")</f>
        <v>0</v>
      </c>
      <c r="D357" s="1">
        <f>IF(B357="", "", "weeks")</f>
        <v>0</v>
      </c>
      <c r="E357" s="1">
        <f>IF(B357="", "", "urban biome")</f>
        <v>0</v>
      </c>
      <c r="F357" s="1">
        <f>IF(B357="", "", "animal-associated habitat")</f>
        <v>0</v>
      </c>
      <c r="G357" s="1">
        <f>IF(B357="", "", "mouse")</f>
        <v>0</v>
      </c>
      <c r="H357" s="1">
        <f>IF(B357="", "", "Mus musculus")</f>
        <v>0</v>
      </c>
      <c r="I357" s="1">
        <f>IF(B357="", "", "10090")</f>
        <v>0</v>
      </c>
      <c r="J357" s="2">
        <f>IF(B357="", "", "missing: not provided")</f>
        <v>0</v>
      </c>
      <c r="K357" s="1">
        <f>IF(B357="", "", "g")</f>
        <v>0</v>
      </c>
    </row>
    <row r="358" spans="1:11">
      <c r="A358">
        <f>IF(COUNTBLANK(B358:K358)&lt;&gt;COLUMNS(B358:K358),357,"")</f>
        <v>0</v>
      </c>
      <c r="C358" s="2">
        <f>IF(B358="", "", "missing: not provided")</f>
        <v>0</v>
      </c>
      <c r="D358" s="1">
        <f>IF(B358="", "", "weeks")</f>
        <v>0</v>
      </c>
      <c r="E358" s="1">
        <f>IF(B358="", "", "urban biome")</f>
        <v>0</v>
      </c>
      <c r="F358" s="1">
        <f>IF(B358="", "", "animal-associated habitat")</f>
        <v>0</v>
      </c>
      <c r="G358" s="1">
        <f>IF(B358="", "", "mouse")</f>
        <v>0</v>
      </c>
      <c r="H358" s="1">
        <f>IF(B358="", "", "Mus musculus")</f>
        <v>0</v>
      </c>
      <c r="I358" s="1">
        <f>IF(B358="", "", "10090")</f>
        <v>0</v>
      </c>
      <c r="J358" s="2">
        <f>IF(B358="", "", "missing: not provided")</f>
        <v>0</v>
      </c>
      <c r="K358" s="1">
        <f>IF(B358="", "", "g")</f>
        <v>0</v>
      </c>
    </row>
    <row r="359" spans="1:11">
      <c r="A359">
        <f>IF(COUNTBLANK(B359:K359)&lt;&gt;COLUMNS(B359:K359),358,"")</f>
        <v>0</v>
      </c>
      <c r="C359" s="2">
        <f>IF(B359="", "", "missing: not provided")</f>
        <v>0</v>
      </c>
      <c r="D359" s="1">
        <f>IF(B359="", "", "weeks")</f>
        <v>0</v>
      </c>
      <c r="E359" s="1">
        <f>IF(B359="", "", "urban biome")</f>
        <v>0</v>
      </c>
      <c r="F359" s="1">
        <f>IF(B359="", "", "animal-associated habitat")</f>
        <v>0</v>
      </c>
      <c r="G359" s="1">
        <f>IF(B359="", "", "mouse")</f>
        <v>0</v>
      </c>
      <c r="H359" s="1">
        <f>IF(B359="", "", "Mus musculus")</f>
        <v>0</v>
      </c>
      <c r="I359" s="1">
        <f>IF(B359="", "", "10090")</f>
        <v>0</v>
      </c>
      <c r="J359" s="2">
        <f>IF(B359="", "", "missing: not provided")</f>
        <v>0</v>
      </c>
      <c r="K359" s="1">
        <f>IF(B359="", "", "g")</f>
        <v>0</v>
      </c>
    </row>
    <row r="360" spans="1:11">
      <c r="A360">
        <f>IF(COUNTBLANK(B360:K360)&lt;&gt;COLUMNS(B360:K360),359,"")</f>
        <v>0</v>
      </c>
      <c r="C360" s="2">
        <f>IF(B360="", "", "missing: not provided")</f>
        <v>0</v>
      </c>
      <c r="D360" s="1">
        <f>IF(B360="", "", "weeks")</f>
        <v>0</v>
      </c>
      <c r="E360" s="1">
        <f>IF(B360="", "", "urban biome")</f>
        <v>0</v>
      </c>
      <c r="F360" s="1">
        <f>IF(B360="", "", "animal-associated habitat")</f>
        <v>0</v>
      </c>
      <c r="G360" s="1">
        <f>IF(B360="", "", "mouse")</f>
        <v>0</v>
      </c>
      <c r="H360" s="1">
        <f>IF(B360="", "", "Mus musculus")</f>
        <v>0</v>
      </c>
      <c r="I360" s="1">
        <f>IF(B360="", "", "10090")</f>
        <v>0</v>
      </c>
      <c r="J360" s="2">
        <f>IF(B360="", "", "missing: not provided")</f>
        <v>0</v>
      </c>
      <c r="K360" s="1">
        <f>IF(B360="", "", "g")</f>
        <v>0</v>
      </c>
    </row>
    <row r="361" spans="1:11">
      <c r="A361">
        <f>IF(COUNTBLANK(B361:K361)&lt;&gt;COLUMNS(B361:K361),360,"")</f>
        <v>0</v>
      </c>
      <c r="C361" s="2">
        <f>IF(B361="", "", "missing: not provided")</f>
        <v>0</v>
      </c>
      <c r="D361" s="1">
        <f>IF(B361="", "", "weeks")</f>
        <v>0</v>
      </c>
      <c r="E361" s="1">
        <f>IF(B361="", "", "urban biome")</f>
        <v>0</v>
      </c>
      <c r="F361" s="1">
        <f>IF(B361="", "", "animal-associated habitat")</f>
        <v>0</v>
      </c>
      <c r="G361" s="1">
        <f>IF(B361="", "", "mouse")</f>
        <v>0</v>
      </c>
      <c r="H361" s="1">
        <f>IF(B361="", "", "Mus musculus")</f>
        <v>0</v>
      </c>
      <c r="I361" s="1">
        <f>IF(B361="", "", "10090")</f>
        <v>0</v>
      </c>
      <c r="J361" s="2">
        <f>IF(B361="", "", "missing: not provided")</f>
        <v>0</v>
      </c>
      <c r="K361" s="1">
        <f>IF(B361="", "", "g")</f>
        <v>0</v>
      </c>
    </row>
    <row r="362" spans="1:11">
      <c r="A362">
        <f>IF(COUNTBLANK(B362:K362)&lt;&gt;COLUMNS(B362:K362),361,"")</f>
        <v>0</v>
      </c>
      <c r="C362" s="2">
        <f>IF(B362="", "", "missing: not provided")</f>
        <v>0</v>
      </c>
      <c r="D362" s="1">
        <f>IF(B362="", "", "weeks")</f>
        <v>0</v>
      </c>
      <c r="E362" s="1">
        <f>IF(B362="", "", "urban biome")</f>
        <v>0</v>
      </c>
      <c r="F362" s="1">
        <f>IF(B362="", "", "animal-associated habitat")</f>
        <v>0</v>
      </c>
      <c r="G362" s="1">
        <f>IF(B362="", "", "mouse")</f>
        <v>0</v>
      </c>
      <c r="H362" s="1">
        <f>IF(B362="", "", "Mus musculus")</f>
        <v>0</v>
      </c>
      <c r="I362" s="1">
        <f>IF(B362="", "", "10090")</f>
        <v>0</v>
      </c>
      <c r="J362" s="2">
        <f>IF(B362="", "", "missing: not provided")</f>
        <v>0</v>
      </c>
      <c r="K362" s="1">
        <f>IF(B362="", "", "g")</f>
        <v>0</v>
      </c>
    </row>
    <row r="363" spans="1:11">
      <c r="A363">
        <f>IF(COUNTBLANK(B363:K363)&lt;&gt;COLUMNS(B363:K363),362,"")</f>
        <v>0</v>
      </c>
      <c r="C363" s="2">
        <f>IF(B363="", "", "missing: not provided")</f>
        <v>0</v>
      </c>
      <c r="D363" s="1">
        <f>IF(B363="", "", "weeks")</f>
        <v>0</v>
      </c>
      <c r="E363" s="1">
        <f>IF(B363="", "", "urban biome")</f>
        <v>0</v>
      </c>
      <c r="F363" s="1">
        <f>IF(B363="", "", "animal-associated habitat")</f>
        <v>0</v>
      </c>
      <c r="G363" s="1">
        <f>IF(B363="", "", "mouse")</f>
        <v>0</v>
      </c>
      <c r="H363" s="1">
        <f>IF(B363="", "", "Mus musculus")</f>
        <v>0</v>
      </c>
      <c r="I363" s="1">
        <f>IF(B363="", "", "10090")</f>
        <v>0</v>
      </c>
      <c r="J363" s="2">
        <f>IF(B363="", "", "missing: not provided")</f>
        <v>0</v>
      </c>
      <c r="K363" s="1">
        <f>IF(B363="", "", "g")</f>
        <v>0</v>
      </c>
    </row>
    <row r="364" spans="1:11">
      <c r="A364">
        <f>IF(COUNTBLANK(B364:K364)&lt;&gt;COLUMNS(B364:K364),363,"")</f>
        <v>0</v>
      </c>
      <c r="C364" s="2">
        <f>IF(B364="", "", "missing: not provided")</f>
        <v>0</v>
      </c>
      <c r="D364" s="1">
        <f>IF(B364="", "", "weeks")</f>
        <v>0</v>
      </c>
      <c r="E364" s="1">
        <f>IF(B364="", "", "urban biome")</f>
        <v>0</v>
      </c>
      <c r="F364" s="1">
        <f>IF(B364="", "", "animal-associated habitat")</f>
        <v>0</v>
      </c>
      <c r="G364" s="1">
        <f>IF(B364="", "", "mouse")</f>
        <v>0</v>
      </c>
      <c r="H364" s="1">
        <f>IF(B364="", "", "Mus musculus")</f>
        <v>0</v>
      </c>
      <c r="I364" s="1">
        <f>IF(B364="", "", "10090")</f>
        <v>0</v>
      </c>
      <c r="J364" s="2">
        <f>IF(B364="", "", "missing: not provided")</f>
        <v>0</v>
      </c>
      <c r="K364" s="1">
        <f>IF(B364="", "", "g")</f>
        <v>0</v>
      </c>
    </row>
    <row r="365" spans="1:11">
      <c r="A365">
        <f>IF(COUNTBLANK(B365:K365)&lt;&gt;COLUMNS(B365:K365),364,"")</f>
        <v>0</v>
      </c>
      <c r="C365" s="2">
        <f>IF(B365="", "", "missing: not provided")</f>
        <v>0</v>
      </c>
      <c r="D365" s="1">
        <f>IF(B365="", "", "weeks")</f>
        <v>0</v>
      </c>
      <c r="E365" s="1">
        <f>IF(B365="", "", "urban biome")</f>
        <v>0</v>
      </c>
      <c r="F365" s="1">
        <f>IF(B365="", "", "animal-associated habitat")</f>
        <v>0</v>
      </c>
      <c r="G365" s="1">
        <f>IF(B365="", "", "mouse")</f>
        <v>0</v>
      </c>
      <c r="H365" s="1">
        <f>IF(B365="", "", "Mus musculus")</f>
        <v>0</v>
      </c>
      <c r="I365" s="1">
        <f>IF(B365="", "", "10090")</f>
        <v>0</v>
      </c>
      <c r="J365" s="2">
        <f>IF(B365="", "", "missing: not provided")</f>
        <v>0</v>
      </c>
      <c r="K365" s="1">
        <f>IF(B365="", "", "g")</f>
        <v>0</v>
      </c>
    </row>
    <row r="366" spans="1:11">
      <c r="A366">
        <f>IF(COUNTBLANK(B366:K366)&lt;&gt;COLUMNS(B366:K366),365,"")</f>
        <v>0</v>
      </c>
      <c r="C366" s="2">
        <f>IF(B366="", "", "missing: not provided")</f>
        <v>0</v>
      </c>
      <c r="D366" s="1">
        <f>IF(B366="", "", "weeks")</f>
        <v>0</v>
      </c>
      <c r="E366" s="1">
        <f>IF(B366="", "", "urban biome")</f>
        <v>0</v>
      </c>
      <c r="F366" s="1">
        <f>IF(B366="", "", "animal-associated habitat")</f>
        <v>0</v>
      </c>
      <c r="G366" s="1">
        <f>IF(B366="", "", "mouse")</f>
        <v>0</v>
      </c>
      <c r="H366" s="1">
        <f>IF(B366="", "", "Mus musculus")</f>
        <v>0</v>
      </c>
      <c r="I366" s="1">
        <f>IF(B366="", "", "10090")</f>
        <v>0</v>
      </c>
      <c r="J366" s="2">
        <f>IF(B366="", "", "missing: not provided")</f>
        <v>0</v>
      </c>
      <c r="K366" s="1">
        <f>IF(B366="", "", "g")</f>
        <v>0</v>
      </c>
    </row>
    <row r="367" spans="1:11">
      <c r="A367">
        <f>IF(COUNTBLANK(B367:K367)&lt;&gt;COLUMNS(B367:K367),366,"")</f>
        <v>0</v>
      </c>
      <c r="C367" s="2">
        <f>IF(B367="", "", "missing: not provided")</f>
        <v>0</v>
      </c>
      <c r="D367" s="1">
        <f>IF(B367="", "", "weeks")</f>
        <v>0</v>
      </c>
      <c r="E367" s="1">
        <f>IF(B367="", "", "urban biome")</f>
        <v>0</v>
      </c>
      <c r="F367" s="1">
        <f>IF(B367="", "", "animal-associated habitat")</f>
        <v>0</v>
      </c>
      <c r="G367" s="1">
        <f>IF(B367="", "", "mouse")</f>
        <v>0</v>
      </c>
      <c r="H367" s="1">
        <f>IF(B367="", "", "Mus musculus")</f>
        <v>0</v>
      </c>
      <c r="I367" s="1">
        <f>IF(B367="", "", "10090")</f>
        <v>0</v>
      </c>
      <c r="J367" s="2">
        <f>IF(B367="", "", "missing: not provided")</f>
        <v>0</v>
      </c>
      <c r="K367" s="1">
        <f>IF(B367="", "", "g")</f>
        <v>0</v>
      </c>
    </row>
    <row r="368" spans="1:11">
      <c r="A368">
        <f>IF(COUNTBLANK(B368:K368)&lt;&gt;COLUMNS(B368:K368),367,"")</f>
        <v>0</v>
      </c>
      <c r="C368" s="2">
        <f>IF(B368="", "", "missing: not provided")</f>
        <v>0</v>
      </c>
      <c r="D368" s="1">
        <f>IF(B368="", "", "weeks")</f>
        <v>0</v>
      </c>
      <c r="E368" s="1">
        <f>IF(B368="", "", "urban biome")</f>
        <v>0</v>
      </c>
      <c r="F368" s="1">
        <f>IF(B368="", "", "animal-associated habitat")</f>
        <v>0</v>
      </c>
      <c r="G368" s="1">
        <f>IF(B368="", "", "mouse")</f>
        <v>0</v>
      </c>
      <c r="H368" s="1">
        <f>IF(B368="", "", "Mus musculus")</f>
        <v>0</v>
      </c>
      <c r="I368" s="1">
        <f>IF(B368="", "", "10090")</f>
        <v>0</v>
      </c>
      <c r="J368" s="2">
        <f>IF(B368="", "", "missing: not provided")</f>
        <v>0</v>
      </c>
      <c r="K368" s="1">
        <f>IF(B368="", "", "g")</f>
        <v>0</v>
      </c>
    </row>
    <row r="369" spans="1:11">
      <c r="A369">
        <f>IF(COUNTBLANK(B369:K369)&lt;&gt;COLUMNS(B369:K369),368,"")</f>
        <v>0</v>
      </c>
      <c r="C369" s="2">
        <f>IF(B369="", "", "missing: not provided")</f>
        <v>0</v>
      </c>
      <c r="D369" s="1">
        <f>IF(B369="", "", "weeks")</f>
        <v>0</v>
      </c>
      <c r="E369" s="1">
        <f>IF(B369="", "", "urban biome")</f>
        <v>0</v>
      </c>
      <c r="F369" s="1">
        <f>IF(B369="", "", "animal-associated habitat")</f>
        <v>0</v>
      </c>
      <c r="G369" s="1">
        <f>IF(B369="", "", "mouse")</f>
        <v>0</v>
      </c>
      <c r="H369" s="1">
        <f>IF(B369="", "", "Mus musculus")</f>
        <v>0</v>
      </c>
      <c r="I369" s="1">
        <f>IF(B369="", "", "10090")</f>
        <v>0</v>
      </c>
      <c r="J369" s="2">
        <f>IF(B369="", "", "missing: not provided")</f>
        <v>0</v>
      </c>
      <c r="K369" s="1">
        <f>IF(B369="", "", "g")</f>
        <v>0</v>
      </c>
    </row>
    <row r="370" spans="1:11">
      <c r="A370">
        <f>IF(COUNTBLANK(B370:K370)&lt;&gt;COLUMNS(B370:K370),369,"")</f>
        <v>0</v>
      </c>
      <c r="C370" s="2">
        <f>IF(B370="", "", "missing: not provided")</f>
        <v>0</v>
      </c>
      <c r="D370" s="1">
        <f>IF(B370="", "", "weeks")</f>
        <v>0</v>
      </c>
      <c r="E370" s="1">
        <f>IF(B370="", "", "urban biome")</f>
        <v>0</v>
      </c>
      <c r="F370" s="1">
        <f>IF(B370="", "", "animal-associated habitat")</f>
        <v>0</v>
      </c>
      <c r="G370" s="1">
        <f>IF(B370="", "", "mouse")</f>
        <v>0</v>
      </c>
      <c r="H370" s="1">
        <f>IF(B370="", "", "Mus musculus")</f>
        <v>0</v>
      </c>
      <c r="I370" s="1">
        <f>IF(B370="", "", "10090")</f>
        <v>0</v>
      </c>
      <c r="J370" s="2">
        <f>IF(B370="", "", "missing: not provided")</f>
        <v>0</v>
      </c>
      <c r="K370" s="1">
        <f>IF(B370="", "", "g")</f>
        <v>0</v>
      </c>
    </row>
    <row r="371" spans="1:11">
      <c r="A371">
        <f>IF(COUNTBLANK(B371:K371)&lt;&gt;COLUMNS(B371:K371),370,"")</f>
        <v>0</v>
      </c>
      <c r="C371" s="2">
        <f>IF(B371="", "", "missing: not provided")</f>
        <v>0</v>
      </c>
      <c r="D371" s="1">
        <f>IF(B371="", "", "weeks")</f>
        <v>0</v>
      </c>
      <c r="E371" s="1">
        <f>IF(B371="", "", "urban biome")</f>
        <v>0</v>
      </c>
      <c r="F371" s="1">
        <f>IF(B371="", "", "animal-associated habitat")</f>
        <v>0</v>
      </c>
      <c r="G371" s="1">
        <f>IF(B371="", "", "mouse")</f>
        <v>0</v>
      </c>
      <c r="H371" s="1">
        <f>IF(B371="", "", "Mus musculus")</f>
        <v>0</v>
      </c>
      <c r="I371" s="1">
        <f>IF(B371="", "", "10090")</f>
        <v>0</v>
      </c>
      <c r="J371" s="2">
        <f>IF(B371="", "", "missing: not provided")</f>
        <v>0</v>
      </c>
      <c r="K371" s="1">
        <f>IF(B371="", "", "g")</f>
        <v>0</v>
      </c>
    </row>
    <row r="372" spans="1:11">
      <c r="A372">
        <f>IF(COUNTBLANK(B372:K372)&lt;&gt;COLUMNS(B372:K372),371,"")</f>
        <v>0</v>
      </c>
      <c r="C372" s="2">
        <f>IF(B372="", "", "missing: not provided")</f>
        <v>0</v>
      </c>
      <c r="D372" s="1">
        <f>IF(B372="", "", "weeks")</f>
        <v>0</v>
      </c>
      <c r="E372" s="1">
        <f>IF(B372="", "", "urban biome")</f>
        <v>0</v>
      </c>
      <c r="F372" s="1">
        <f>IF(B372="", "", "animal-associated habitat")</f>
        <v>0</v>
      </c>
      <c r="G372" s="1">
        <f>IF(B372="", "", "mouse")</f>
        <v>0</v>
      </c>
      <c r="H372" s="1">
        <f>IF(B372="", "", "Mus musculus")</f>
        <v>0</v>
      </c>
      <c r="I372" s="1">
        <f>IF(B372="", "", "10090")</f>
        <v>0</v>
      </c>
      <c r="J372" s="2">
        <f>IF(B372="", "", "missing: not provided")</f>
        <v>0</v>
      </c>
      <c r="K372" s="1">
        <f>IF(B372="", "", "g")</f>
        <v>0</v>
      </c>
    </row>
    <row r="373" spans="1:11">
      <c r="A373">
        <f>IF(COUNTBLANK(B373:K373)&lt;&gt;COLUMNS(B373:K373),372,"")</f>
        <v>0</v>
      </c>
      <c r="C373" s="2">
        <f>IF(B373="", "", "missing: not provided")</f>
        <v>0</v>
      </c>
      <c r="D373" s="1">
        <f>IF(B373="", "", "weeks")</f>
        <v>0</v>
      </c>
      <c r="E373" s="1">
        <f>IF(B373="", "", "urban biome")</f>
        <v>0</v>
      </c>
      <c r="F373" s="1">
        <f>IF(B373="", "", "animal-associated habitat")</f>
        <v>0</v>
      </c>
      <c r="G373" s="1">
        <f>IF(B373="", "", "mouse")</f>
        <v>0</v>
      </c>
      <c r="H373" s="1">
        <f>IF(B373="", "", "Mus musculus")</f>
        <v>0</v>
      </c>
      <c r="I373" s="1">
        <f>IF(B373="", "", "10090")</f>
        <v>0</v>
      </c>
      <c r="J373" s="2">
        <f>IF(B373="", "", "missing: not provided")</f>
        <v>0</v>
      </c>
      <c r="K373" s="1">
        <f>IF(B373="", "", "g")</f>
        <v>0</v>
      </c>
    </row>
    <row r="374" spans="1:11">
      <c r="A374">
        <f>IF(COUNTBLANK(B374:K374)&lt;&gt;COLUMNS(B374:K374),373,"")</f>
        <v>0</v>
      </c>
      <c r="C374" s="2">
        <f>IF(B374="", "", "missing: not provided")</f>
        <v>0</v>
      </c>
      <c r="D374" s="1">
        <f>IF(B374="", "", "weeks")</f>
        <v>0</v>
      </c>
      <c r="E374" s="1">
        <f>IF(B374="", "", "urban biome")</f>
        <v>0</v>
      </c>
      <c r="F374" s="1">
        <f>IF(B374="", "", "animal-associated habitat")</f>
        <v>0</v>
      </c>
      <c r="G374" s="1">
        <f>IF(B374="", "", "mouse")</f>
        <v>0</v>
      </c>
      <c r="H374" s="1">
        <f>IF(B374="", "", "Mus musculus")</f>
        <v>0</v>
      </c>
      <c r="I374" s="1">
        <f>IF(B374="", "", "10090")</f>
        <v>0</v>
      </c>
      <c r="J374" s="2">
        <f>IF(B374="", "", "missing: not provided")</f>
        <v>0</v>
      </c>
      <c r="K374" s="1">
        <f>IF(B374="", "", "g")</f>
        <v>0</v>
      </c>
    </row>
    <row r="375" spans="1:11">
      <c r="A375">
        <f>IF(COUNTBLANK(B375:K375)&lt;&gt;COLUMNS(B375:K375),374,"")</f>
        <v>0</v>
      </c>
      <c r="C375" s="2">
        <f>IF(B375="", "", "missing: not provided")</f>
        <v>0</v>
      </c>
      <c r="D375" s="1">
        <f>IF(B375="", "", "weeks")</f>
        <v>0</v>
      </c>
      <c r="E375" s="1">
        <f>IF(B375="", "", "urban biome")</f>
        <v>0</v>
      </c>
      <c r="F375" s="1">
        <f>IF(B375="", "", "animal-associated habitat")</f>
        <v>0</v>
      </c>
      <c r="G375" s="1">
        <f>IF(B375="", "", "mouse")</f>
        <v>0</v>
      </c>
      <c r="H375" s="1">
        <f>IF(B375="", "", "Mus musculus")</f>
        <v>0</v>
      </c>
      <c r="I375" s="1">
        <f>IF(B375="", "", "10090")</f>
        <v>0</v>
      </c>
      <c r="J375" s="2">
        <f>IF(B375="", "", "missing: not provided")</f>
        <v>0</v>
      </c>
      <c r="K375" s="1">
        <f>IF(B375="", "", "g")</f>
        <v>0</v>
      </c>
    </row>
    <row r="376" spans="1:11">
      <c r="A376">
        <f>IF(COUNTBLANK(B376:K376)&lt;&gt;COLUMNS(B376:K376),375,"")</f>
        <v>0</v>
      </c>
      <c r="C376" s="2">
        <f>IF(B376="", "", "missing: not provided")</f>
        <v>0</v>
      </c>
      <c r="D376" s="1">
        <f>IF(B376="", "", "weeks")</f>
        <v>0</v>
      </c>
      <c r="E376" s="1">
        <f>IF(B376="", "", "urban biome")</f>
        <v>0</v>
      </c>
      <c r="F376" s="1">
        <f>IF(B376="", "", "animal-associated habitat")</f>
        <v>0</v>
      </c>
      <c r="G376" s="1">
        <f>IF(B376="", "", "mouse")</f>
        <v>0</v>
      </c>
      <c r="H376" s="1">
        <f>IF(B376="", "", "Mus musculus")</f>
        <v>0</v>
      </c>
      <c r="I376" s="1">
        <f>IF(B376="", "", "10090")</f>
        <v>0</v>
      </c>
      <c r="J376" s="2">
        <f>IF(B376="", "", "missing: not provided")</f>
        <v>0</v>
      </c>
      <c r="K376" s="1">
        <f>IF(B376="", "", "g")</f>
        <v>0</v>
      </c>
    </row>
    <row r="377" spans="1:11">
      <c r="A377">
        <f>IF(COUNTBLANK(B377:K377)&lt;&gt;COLUMNS(B377:K377),376,"")</f>
        <v>0</v>
      </c>
      <c r="C377" s="2">
        <f>IF(B377="", "", "missing: not provided")</f>
        <v>0</v>
      </c>
      <c r="D377" s="1">
        <f>IF(B377="", "", "weeks")</f>
        <v>0</v>
      </c>
      <c r="E377" s="1">
        <f>IF(B377="", "", "urban biome")</f>
        <v>0</v>
      </c>
      <c r="F377" s="1">
        <f>IF(B377="", "", "animal-associated habitat")</f>
        <v>0</v>
      </c>
      <c r="G377" s="1">
        <f>IF(B377="", "", "mouse")</f>
        <v>0</v>
      </c>
      <c r="H377" s="1">
        <f>IF(B377="", "", "Mus musculus")</f>
        <v>0</v>
      </c>
      <c r="I377" s="1">
        <f>IF(B377="", "", "10090")</f>
        <v>0</v>
      </c>
      <c r="J377" s="2">
        <f>IF(B377="", "", "missing: not provided")</f>
        <v>0</v>
      </c>
      <c r="K377" s="1">
        <f>IF(B377="", "", "g")</f>
        <v>0</v>
      </c>
    </row>
    <row r="378" spans="1:11">
      <c r="A378">
        <f>IF(COUNTBLANK(B378:K378)&lt;&gt;COLUMNS(B378:K378),377,"")</f>
        <v>0</v>
      </c>
      <c r="C378" s="2">
        <f>IF(B378="", "", "missing: not provided")</f>
        <v>0</v>
      </c>
      <c r="D378" s="1">
        <f>IF(B378="", "", "weeks")</f>
        <v>0</v>
      </c>
      <c r="E378" s="1">
        <f>IF(B378="", "", "urban biome")</f>
        <v>0</v>
      </c>
      <c r="F378" s="1">
        <f>IF(B378="", "", "animal-associated habitat")</f>
        <v>0</v>
      </c>
      <c r="G378" s="1">
        <f>IF(B378="", "", "mouse")</f>
        <v>0</v>
      </c>
      <c r="H378" s="1">
        <f>IF(B378="", "", "Mus musculus")</f>
        <v>0</v>
      </c>
      <c r="I378" s="1">
        <f>IF(B378="", "", "10090")</f>
        <v>0</v>
      </c>
      <c r="J378" s="2">
        <f>IF(B378="", "", "missing: not provided")</f>
        <v>0</v>
      </c>
      <c r="K378" s="1">
        <f>IF(B378="", "", "g")</f>
        <v>0</v>
      </c>
    </row>
    <row r="379" spans="1:11">
      <c r="A379">
        <f>IF(COUNTBLANK(B379:K379)&lt;&gt;COLUMNS(B379:K379),378,"")</f>
        <v>0</v>
      </c>
      <c r="C379" s="2">
        <f>IF(B379="", "", "missing: not provided")</f>
        <v>0</v>
      </c>
      <c r="D379" s="1">
        <f>IF(B379="", "", "weeks")</f>
        <v>0</v>
      </c>
      <c r="E379" s="1">
        <f>IF(B379="", "", "urban biome")</f>
        <v>0</v>
      </c>
      <c r="F379" s="1">
        <f>IF(B379="", "", "animal-associated habitat")</f>
        <v>0</v>
      </c>
      <c r="G379" s="1">
        <f>IF(B379="", "", "mouse")</f>
        <v>0</v>
      </c>
      <c r="H379" s="1">
        <f>IF(B379="", "", "Mus musculus")</f>
        <v>0</v>
      </c>
      <c r="I379" s="1">
        <f>IF(B379="", "", "10090")</f>
        <v>0</v>
      </c>
      <c r="J379" s="2">
        <f>IF(B379="", "", "missing: not provided")</f>
        <v>0</v>
      </c>
      <c r="K379" s="1">
        <f>IF(B379="", "", "g")</f>
        <v>0</v>
      </c>
    </row>
    <row r="380" spans="1:11">
      <c r="A380">
        <f>IF(COUNTBLANK(B380:K380)&lt;&gt;COLUMNS(B380:K380),379,"")</f>
        <v>0</v>
      </c>
      <c r="C380" s="2">
        <f>IF(B380="", "", "missing: not provided")</f>
        <v>0</v>
      </c>
      <c r="D380" s="1">
        <f>IF(B380="", "", "weeks")</f>
        <v>0</v>
      </c>
      <c r="E380" s="1">
        <f>IF(B380="", "", "urban biome")</f>
        <v>0</v>
      </c>
      <c r="F380" s="1">
        <f>IF(B380="", "", "animal-associated habitat")</f>
        <v>0</v>
      </c>
      <c r="G380" s="1">
        <f>IF(B380="", "", "mouse")</f>
        <v>0</v>
      </c>
      <c r="H380" s="1">
        <f>IF(B380="", "", "Mus musculus")</f>
        <v>0</v>
      </c>
      <c r="I380" s="1">
        <f>IF(B380="", "", "10090")</f>
        <v>0</v>
      </c>
      <c r="J380" s="2">
        <f>IF(B380="", "", "missing: not provided")</f>
        <v>0</v>
      </c>
      <c r="K380" s="1">
        <f>IF(B380="", "", "g")</f>
        <v>0</v>
      </c>
    </row>
    <row r="381" spans="1:11">
      <c r="A381">
        <f>IF(COUNTBLANK(B381:K381)&lt;&gt;COLUMNS(B381:K381),380,"")</f>
        <v>0</v>
      </c>
      <c r="C381" s="2">
        <f>IF(B381="", "", "missing: not provided")</f>
        <v>0</v>
      </c>
      <c r="D381" s="1">
        <f>IF(B381="", "", "weeks")</f>
        <v>0</v>
      </c>
      <c r="E381" s="1">
        <f>IF(B381="", "", "urban biome")</f>
        <v>0</v>
      </c>
      <c r="F381" s="1">
        <f>IF(B381="", "", "animal-associated habitat")</f>
        <v>0</v>
      </c>
      <c r="G381" s="1">
        <f>IF(B381="", "", "mouse")</f>
        <v>0</v>
      </c>
      <c r="H381" s="1">
        <f>IF(B381="", "", "Mus musculus")</f>
        <v>0</v>
      </c>
      <c r="I381" s="1">
        <f>IF(B381="", "", "10090")</f>
        <v>0</v>
      </c>
      <c r="J381" s="2">
        <f>IF(B381="", "", "missing: not provided")</f>
        <v>0</v>
      </c>
      <c r="K381" s="1">
        <f>IF(B381="", "", "g")</f>
        <v>0</v>
      </c>
    </row>
    <row r="382" spans="1:11">
      <c r="A382">
        <f>IF(COUNTBLANK(B382:K382)&lt;&gt;COLUMNS(B382:K382),381,"")</f>
        <v>0</v>
      </c>
      <c r="C382" s="2">
        <f>IF(B382="", "", "missing: not provided")</f>
        <v>0</v>
      </c>
      <c r="D382" s="1">
        <f>IF(B382="", "", "weeks")</f>
        <v>0</v>
      </c>
      <c r="E382" s="1">
        <f>IF(B382="", "", "urban biome")</f>
        <v>0</v>
      </c>
      <c r="F382" s="1">
        <f>IF(B382="", "", "animal-associated habitat")</f>
        <v>0</v>
      </c>
      <c r="G382" s="1">
        <f>IF(B382="", "", "mouse")</f>
        <v>0</v>
      </c>
      <c r="H382" s="1">
        <f>IF(B382="", "", "Mus musculus")</f>
        <v>0</v>
      </c>
      <c r="I382" s="1">
        <f>IF(B382="", "", "10090")</f>
        <v>0</v>
      </c>
      <c r="J382" s="2">
        <f>IF(B382="", "", "missing: not provided")</f>
        <v>0</v>
      </c>
      <c r="K382" s="1">
        <f>IF(B382="", "", "g")</f>
        <v>0</v>
      </c>
    </row>
    <row r="383" spans="1:11">
      <c r="A383">
        <f>IF(COUNTBLANK(B383:K383)&lt;&gt;COLUMNS(B383:K383),382,"")</f>
        <v>0</v>
      </c>
      <c r="C383" s="2">
        <f>IF(B383="", "", "missing: not provided")</f>
        <v>0</v>
      </c>
      <c r="D383" s="1">
        <f>IF(B383="", "", "weeks")</f>
        <v>0</v>
      </c>
      <c r="E383" s="1">
        <f>IF(B383="", "", "urban biome")</f>
        <v>0</v>
      </c>
      <c r="F383" s="1">
        <f>IF(B383="", "", "animal-associated habitat")</f>
        <v>0</v>
      </c>
      <c r="G383" s="1">
        <f>IF(B383="", "", "mouse")</f>
        <v>0</v>
      </c>
      <c r="H383" s="1">
        <f>IF(B383="", "", "Mus musculus")</f>
        <v>0</v>
      </c>
      <c r="I383" s="1">
        <f>IF(B383="", "", "10090")</f>
        <v>0</v>
      </c>
      <c r="J383" s="2">
        <f>IF(B383="", "", "missing: not provided")</f>
        <v>0</v>
      </c>
      <c r="K383" s="1">
        <f>IF(B383="", "", "g")</f>
        <v>0</v>
      </c>
    </row>
    <row r="384" spans="1:11">
      <c r="A384">
        <f>IF(COUNTBLANK(B384:K384)&lt;&gt;COLUMNS(B384:K384),383,"")</f>
        <v>0</v>
      </c>
      <c r="C384" s="2">
        <f>IF(B384="", "", "missing: not provided")</f>
        <v>0</v>
      </c>
      <c r="D384" s="1">
        <f>IF(B384="", "", "weeks")</f>
        <v>0</v>
      </c>
      <c r="E384" s="1">
        <f>IF(B384="", "", "urban biome")</f>
        <v>0</v>
      </c>
      <c r="F384" s="1">
        <f>IF(B384="", "", "animal-associated habitat")</f>
        <v>0</v>
      </c>
      <c r="G384" s="1">
        <f>IF(B384="", "", "mouse")</f>
        <v>0</v>
      </c>
      <c r="H384" s="1">
        <f>IF(B384="", "", "Mus musculus")</f>
        <v>0</v>
      </c>
      <c r="I384" s="1">
        <f>IF(B384="", "", "10090")</f>
        <v>0</v>
      </c>
      <c r="J384" s="2">
        <f>IF(B384="", "", "missing: not provided")</f>
        <v>0</v>
      </c>
      <c r="K384" s="1">
        <f>IF(B384="", "", "g")</f>
        <v>0</v>
      </c>
    </row>
    <row r="385" spans="1:11">
      <c r="A385">
        <f>IF(COUNTBLANK(B385:K385)&lt;&gt;COLUMNS(B385:K385),384,"")</f>
        <v>0</v>
      </c>
      <c r="C385" s="2">
        <f>IF(B385="", "", "missing: not provided")</f>
        <v>0</v>
      </c>
      <c r="D385" s="1">
        <f>IF(B385="", "", "weeks")</f>
        <v>0</v>
      </c>
      <c r="E385" s="1">
        <f>IF(B385="", "", "urban biome")</f>
        <v>0</v>
      </c>
      <c r="F385" s="1">
        <f>IF(B385="", "", "animal-associated habitat")</f>
        <v>0</v>
      </c>
      <c r="G385" s="1">
        <f>IF(B385="", "", "mouse")</f>
        <v>0</v>
      </c>
      <c r="H385" s="1">
        <f>IF(B385="", "", "Mus musculus")</f>
        <v>0</v>
      </c>
      <c r="I385" s="1">
        <f>IF(B385="", "", "10090")</f>
        <v>0</v>
      </c>
      <c r="J385" s="2">
        <f>IF(B385="", "", "missing: not provided")</f>
        <v>0</v>
      </c>
      <c r="K385" s="1">
        <f>IF(B385="", "", "g")</f>
        <v>0</v>
      </c>
    </row>
    <row r="386" spans="1:11">
      <c r="A386">
        <f>IF(COUNTBLANK(B386:K386)&lt;&gt;COLUMNS(B386:K386),385,"")</f>
        <v>0</v>
      </c>
      <c r="C386" s="2">
        <f>IF(B386="", "", "missing: not provided")</f>
        <v>0</v>
      </c>
      <c r="D386" s="1">
        <f>IF(B386="", "", "weeks")</f>
        <v>0</v>
      </c>
      <c r="E386" s="1">
        <f>IF(B386="", "", "urban biome")</f>
        <v>0</v>
      </c>
      <c r="F386" s="1">
        <f>IF(B386="", "", "animal-associated habitat")</f>
        <v>0</v>
      </c>
      <c r="G386" s="1">
        <f>IF(B386="", "", "mouse")</f>
        <v>0</v>
      </c>
      <c r="H386" s="1">
        <f>IF(B386="", "", "Mus musculus")</f>
        <v>0</v>
      </c>
      <c r="I386" s="1">
        <f>IF(B386="", "", "10090")</f>
        <v>0</v>
      </c>
      <c r="J386" s="2">
        <f>IF(B386="", "", "missing: not provided")</f>
        <v>0</v>
      </c>
      <c r="K386" s="1">
        <f>IF(B386="", "", "g")</f>
        <v>0</v>
      </c>
    </row>
    <row r="387" spans="1:11">
      <c r="A387">
        <f>IF(COUNTBLANK(B387:K387)&lt;&gt;COLUMNS(B387:K387),386,"")</f>
        <v>0</v>
      </c>
      <c r="C387" s="2">
        <f>IF(B387="", "", "missing: not provided")</f>
        <v>0</v>
      </c>
      <c r="D387" s="1">
        <f>IF(B387="", "", "weeks")</f>
        <v>0</v>
      </c>
      <c r="E387" s="1">
        <f>IF(B387="", "", "urban biome")</f>
        <v>0</v>
      </c>
      <c r="F387" s="1">
        <f>IF(B387="", "", "animal-associated habitat")</f>
        <v>0</v>
      </c>
      <c r="G387" s="1">
        <f>IF(B387="", "", "mouse")</f>
        <v>0</v>
      </c>
      <c r="H387" s="1">
        <f>IF(B387="", "", "Mus musculus")</f>
        <v>0</v>
      </c>
      <c r="I387" s="1">
        <f>IF(B387="", "", "10090")</f>
        <v>0</v>
      </c>
      <c r="J387" s="2">
        <f>IF(B387="", "", "missing: not provided")</f>
        <v>0</v>
      </c>
      <c r="K387" s="1">
        <f>IF(B387="", "", "g")</f>
        <v>0</v>
      </c>
    </row>
    <row r="388" spans="1:11">
      <c r="A388">
        <f>IF(COUNTBLANK(B388:K388)&lt;&gt;COLUMNS(B388:K388),387,"")</f>
        <v>0</v>
      </c>
      <c r="C388" s="2">
        <f>IF(B388="", "", "missing: not provided")</f>
        <v>0</v>
      </c>
      <c r="D388" s="1">
        <f>IF(B388="", "", "weeks")</f>
        <v>0</v>
      </c>
      <c r="E388" s="1">
        <f>IF(B388="", "", "urban biome")</f>
        <v>0</v>
      </c>
      <c r="F388" s="1">
        <f>IF(B388="", "", "animal-associated habitat")</f>
        <v>0</v>
      </c>
      <c r="G388" s="1">
        <f>IF(B388="", "", "mouse")</f>
        <v>0</v>
      </c>
      <c r="H388" s="1">
        <f>IF(B388="", "", "Mus musculus")</f>
        <v>0</v>
      </c>
      <c r="I388" s="1">
        <f>IF(B388="", "", "10090")</f>
        <v>0</v>
      </c>
      <c r="J388" s="2">
        <f>IF(B388="", "", "missing: not provided")</f>
        <v>0</v>
      </c>
      <c r="K388" s="1">
        <f>IF(B388="", "", "g")</f>
        <v>0</v>
      </c>
    </row>
    <row r="389" spans="1:11">
      <c r="A389">
        <f>IF(COUNTBLANK(B389:K389)&lt;&gt;COLUMNS(B389:K389),388,"")</f>
        <v>0</v>
      </c>
      <c r="C389" s="2">
        <f>IF(B389="", "", "missing: not provided")</f>
        <v>0</v>
      </c>
      <c r="D389" s="1">
        <f>IF(B389="", "", "weeks")</f>
        <v>0</v>
      </c>
      <c r="E389" s="1">
        <f>IF(B389="", "", "urban biome")</f>
        <v>0</v>
      </c>
      <c r="F389" s="1">
        <f>IF(B389="", "", "animal-associated habitat")</f>
        <v>0</v>
      </c>
      <c r="G389" s="1">
        <f>IF(B389="", "", "mouse")</f>
        <v>0</v>
      </c>
      <c r="H389" s="1">
        <f>IF(B389="", "", "Mus musculus")</f>
        <v>0</v>
      </c>
      <c r="I389" s="1">
        <f>IF(B389="", "", "10090")</f>
        <v>0</v>
      </c>
      <c r="J389" s="2">
        <f>IF(B389="", "", "missing: not provided")</f>
        <v>0</v>
      </c>
      <c r="K389" s="1">
        <f>IF(B389="", "", "g")</f>
        <v>0</v>
      </c>
    </row>
    <row r="390" spans="1:11">
      <c r="A390">
        <f>IF(COUNTBLANK(B390:K390)&lt;&gt;COLUMNS(B390:K390),389,"")</f>
        <v>0</v>
      </c>
      <c r="C390" s="2">
        <f>IF(B390="", "", "missing: not provided")</f>
        <v>0</v>
      </c>
      <c r="D390" s="1">
        <f>IF(B390="", "", "weeks")</f>
        <v>0</v>
      </c>
      <c r="E390" s="1">
        <f>IF(B390="", "", "urban biome")</f>
        <v>0</v>
      </c>
      <c r="F390" s="1">
        <f>IF(B390="", "", "animal-associated habitat")</f>
        <v>0</v>
      </c>
      <c r="G390" s="1">
        <f>IF(B390="", "", "mouse")</f>
        <v>0</v>
      </c>
      <c r="H390" s="1">
        <f>IF(B390="", "", "Mus musculus")</f>
        <v>0</v>
      </c>
      <c r="I390" s="1">
        <f>IF(B390="", "", "10090")</f>
        <v>0</v>
      </c>
      <c r="J390" s="2">
        <f>IF(B390="", "", "missing: not provided")</f>
        <v>0</v>
      </c>
      <c r="K390" s="1">
        <f>IF(B390="", "", "g")</f>
        <v>0</v>
      </c>
    </row>
    <row r="391" spans="1:11">
      <c r="A391">
        <f>IF(COUNTBLANK(B391:K391)&lt;&gt;COLUMNS(B391:K391),390,"")</f>
        <v>0</v>
      </c>
      <c r="C391" s="2">
        <f>IF(B391="", "", "missing: not provided")</f>
        <v>0</v>
      </c>
      <c r="D391" s="1">
        <f>IF(B391="", "", "weeks")</f>
        <v>0</v>
      </c>
      <c r="E391" s="1">
        <f>IF(B391="", "", "urban biome")</f>
        <v>0</v>
      </c>
      <c r="F391" s="1">
        <f>IF(B391="", "", "animal-associated habitat")</f>
        <v>0</v>
      </c>
      <c r="G391" s="1">
        <f>IF(B391="", "", "mouse")</f>
        <v>0</v>
      </c>
      <c r="H391" s="1">
        <f>IF(B391="", "", "Mus musculus")</f>
        <v>0</v>
      </c>
      <c r="I391" s="1">
        <f>IF(B391="", "", "10090")</f>
        <v>0</v>
      </c>
      <c r="J391" s="2">
        <f>IF(B391="", "", "missing: not provided")</f>
        <v>0</v>
      </c>
      <c r="K391" s="1">
        <f>IF(B391="", "", "g")</f>
        <v>0</v>
      </c>
    </row>
    <row r="392" spans="1:11">
      <c r="A392">
        <f>IF(COUNTBLANK(B392:K392)&lt;&gt;COLUMNS(B392:K392),391,"")</f>
        <v>0</v>
      </c>
      <c r="C392" s="2">
        <f>IF(B392="", "", "missing: not provided")</f>
        <v>0</v>
      </c>
      <c r="D392" s="1">
        <f>IF(B392="", "", "weeks")</f>
        <v>0</v>
      </c>
      <c r="E392" s="1">
        <f>IF(B392="", "", "urban biome")</f>
        <v>0</v>
      </c>
      <c r="F392" s="1">
        <f>IF(B392="", "", "animal-associated habitat")</f>
        <v>0</v>
      </c>
      <c r="G392" s="1">
        <f>IF(B392="", "", "mouse")</f>
        <v>0</v>
      </c>
      <c r="H392" s="1">
        <f>IF(B392="", "", "Mus musculus")</f>
        <v>0</v>
      </c>
      <c r="I392" s="1">
        <f>IF(B392="", "", "10090")</f>
        <v>0</v>
      </c>
      <c r="J392" s="2">
        <f>IF(B392="", "", "missing: not provided")</f>
        <v>0</v>
      </c>
      <c r="K392" s="1">
        <f>IF(B392="", "", "g")</f>
        <v>0</v>
      </c>
    </row>
    <row r="393" spans="1:11">
      <c r="A393">
        <f>IF(COUNTBLANK(B393:K393)&lt;&gt;COLUMNS(B393:K393),392,"")</f>
        <v>0</v>
      </c>
      <c r="C393" s="2">
        <f>IF(B393="", "", "missing: not provided")</f>
        <v>0</v>
      </c>
      <c r="D393" s="1">
        <f>IF(B393="", "", "weeks")</f>
        <v>0</v>
      </c>
      <c r="E393" s="1">
        <f>IF(B393="", "", "urban biome")</f>
        <v>0</v>
      </c>
      <c r="F393" s="1">
        <f>IF(B393="", "", "animal-associated habitat")</f>
        <v>0</v>
      </c>
      <c r="G393" s="1">
        <f>IF(B393="", "", "mouse")</f>
        <v>0</v>
      </c>
      <c r="H393" s="1">
        <f>IF(B393="", "", "Mus musculus")</f>
        <v>0</v>
      </c>
      <c r="I393" s="1">
        <f>IF(B393="", "", "10090")</f>
        <v>0</v>
      </c>
      <c r="J393" s="2">
        <f>IF(B393="", "", "missing: not provided")</f>
        <v>0</v>
      </c>
      <c r="K393" s="1">
        <f>IF(B393="", "", "g")</f>
        <v>0</v>
      </c>
    </row>
    <row r="394" spans="1:11">
      <c r="A394">
        <f>IF(COUNTBLANK(B394:K394)&lt;&gt;COLUMNS(B394:K394),393,"")</f>
        <v>0</v>
      </c>
      <c r="C394" s="2">
        <f>IF(B394="", "", "missing: not provided")</f>
        <v>0</v>
      </c>
      <c r="D394" s="1">
        <f>IF(B394="", "", "weeks")</f>
        <v>0</v>
      </c>
      <c r="E394" s="1">
        <f>IF(B394="", "", "urban biome")</f>
        <v>0</v>
      </c>
      <c r="F394" s="1">
        <f>IF(B394="", "", "animal-associated habitat")</f>
        <v>0</v>
      </c>
      <c r="G394" s="1">
        <f>IF(B394="", "", "mouse")</f>
        <v>0</v>
      </c>
      <c r="H394" s="1">
        <f>IF(B394="", "", "Mus musculus")</f>
        <v>0</v>
      </c>
      <c r="I394" s="1">
        <f>IF(B394="", "", "10090")</f>
        <v>0</v>
      </c>
      <c r="J394" s="2">
        <f>IF(B394="", "", "missing: not provided")</f>
        <v>0</v>
      </c>
      <c r="K394" s="1">
        <f>IF(B394="", "", "g")</f>
        <v>0</v>
      </c>
    </row>
    <row r="395" spans="1:11">
      <c r="A395">
        <f>IF(COUNTBLANK(B395:K395)&lt;&gt;COLUMNS(B395:K395),394,"")</f>
        <v>0</v>
      </c>
      <c r="C395" s="2">
        <f>IF(B395="", "", "missing: not provided")</f>
        <v>0</v>
      </c>
      <c r="D395" s="1">
        <f>IF(B395="", "", "weeks")</f>
        <v>0</v>
      </c>
      <c r="E395" s="1">
        <f>IF(B395="", "", "urban biome")</f>
        <v>0</v>
      </c>
      <c r="F395" s="1">
        <f>IF(B395="", "", "animal-associated habitat")</f>
        <v>0</v>
      </c>
      <c r="G395" s="1">
        <f>IF(B395="", "", "mouse")</f>
        <v>0</v>
      </c>
      <c r="H395" s="1">
        <f>IF(B395="", "", "Mus musculus")</f>
        <v>0</v>
      </c>
      <c r="I395" s="1">
        <f>IF(B395="", "", "10090")</f>
        <v>0</v>
      </c>
      <c r="J395" s="2">
        <f>IF(B395="", "", "missing: not provided")</f>
        <v>0</v>
      </c>
      <c r="K395" s="1">
        <f>IF(B395="", "", "g")</f>
        <v>0</v>
      </c>
    </row>
    <row r="396" spans="1:11">
      <c r="A396">
        <f>IF(COUNTBLANK(B396:K396)&lt;&gt;COLUMNS(B396:K396),395,"")</f>
        <v>0</v>
      </c>
      <c r="C396" s="2">
        <f>IF(B396="", "", "missing: not provided")</f>
        <v>0</v>
      </c>
      <c r="D396" s="1">
        <f>IF(B396="", "", "weeks")</f>
        <v>0</v>
      </c>
      <c r="E396" s="1">
        <f>IF(B396="", "", "urban biome")</f>
        <v>0</v>
      </c>
      <c r="F396" s="1">
        <f>IF(B396="", "", "animal-associated habitat")</f>
        <v>0</v>
      </c>
      <c r="G396" s="1">
        <f>IF(B396="", "", "mouse")</f>
        <v>0</v>
      </c>
      <c r="H396" s="1">
        <f>IF(B396="", "", "Mus musculus")</f>
        <v>0</v>
      </c>
      <c r="I396" s="1">
        <f>IF(B396="", "", "10090")</f>
        <v>0</v>
      </c>
      <c r="J396" s="2">
        <f>IF(B396="", "", "missing: not provided")</f>
        <v>0</v>
      </c>
      <c r="K396" s="1">
        <f>IF(B396="", "", "g")</f>
        <v>0</v>
      </c>
    </row>
    <row r="397" spans="1:11">
      <c r="A397">
        <f>IF(COUNTBLANK(B397:K397)&lt;&gt;COLUMNS(B397:K397),396,"")</f>
        <v>0</v>
      </c>
      <c r="C397" s="2">
        <f>IF(B397="", "", "missing: not provided")</f>
        <v>0</v>
      </c>
      <c r="D397" s="1">
        <f>IF(B397="", "", "weeks")</f>
        <v>0</v>
      </c>
      <c r="E397" s="1">
        <f>IF(B397="", "", "urban biome")</f>
        <v>0</v>
      </c>
      <c r="F397" s="1">
        <f>IF(B397="", "", "animal-associated habitat")</f>
        <v>0</v>
      </c>
      <c r="G397" s="1">
        <f>IF(B397="", "", "mouse")</f>
        <v>0</v>
      </c>
      <c r="H397" s="1">
        <f>IF(B397="", "", "Mus musculus")</f>
        <v>0</v>
      </c>
      <c r="I397" s="1">
        <f>IF(B397="", "", "10090")</f>
        <v>0</v>
      </c>
      <c r="J397" s="2">
        <f>IF(B397="", "", "missing: not provided")</f>
        <v>0</v>
      </c>
      <c r="K397" s="1">
        <f>IF(B397="", "", "g")</f>
        <v>0</v>
      </c>
    </row>
    <row r="398" spans="1:11">
      <c r="A398">
        <f>IF(COUNTBLANK(B398:K398)&lt;&gt;COLUMNS(B398:K398),397,"")</f>
        <v>0</v>
      </c>
      <c r="C398" s="2">
        <f>IF(B398="", "", "missing: not provided")</f>
        <v>0</v>
      </c>
      <c r="D398" s="1">
        <f>IF(B398="", "", "weeks")</f>
        <v>0</v>
      </c>
      <c r="E398" s="1">
        <f>IF(B398="", "", "urban biome")</f>
        <v>0</v>
      </c>
      <c r="F398" s="1">
        <f>IF(B398="", "", "animal-associated habitat")</f>
        <v>0</v>
      </c>
      <c r="G398" s="1">
        <f>IF(B398="", "", "mouse")</f>
        <v>0</v>
      </c>
      <c r="H398" s="1">
        <f>IF(B398="", "", "Mus musculus")</f>
        <v>0</v>
      </c>
      <c r="I398" s="1">
        <f>IF(B398="", "", "10090")</f>
        <v>0</v>
      </c>
      <c r="J398" s="2">
        <f>IF(B398="", "", "missing: not provided")</f>
        <v>0</v>
      </c>
      <c r="K398" s="1">
        <f>IF(B398="", "", "g")</f>
        <v>0</v>
      </c>
    </row>
    <row r="399" spans="1:11">
      <c r="A399">
        <f>IF(COUNTBLANK(B399:K399)&lt;&gt;COLUMNS(B399:K399),398,"")</f>
        <v>0</v>
      </c>
      <c r="C399" s="2">
        <f>IF(B399="", "", "missing: not provided")</f>
        <v>0</v>
      </c>
      <c r="D399" s="1">
        <f>IF(B399="", "", "weeks")</f>
        <v>0</v>
      </c>
      <c r="E399" s="1">
        <f>IF(B399="", "", "urban biome")</f>
        <v>0</v>
      </c>
      <c r="F399" s="1">
        <f>IF(B399="", "", "animal-associated habitat")</f>
        <v>0</v>
      </c>
      <c r="G399" s="1">
        <f>IF(B399="", "", "mouse")</f>
        <v>0</v>
      </c>
      <c r="H399" s="1">
        <f>IF(B399="", "", "Mus musculus")</f>
        <v>0</v>
      </c>
      <c r="I399" s="1">
        <f>IF(B399="", "", "10090")</f>
        <v>0</v>
      </c>
      <c r="J399" s="2">
        <f>IF(B399="", "", "missing: not provided")</f>
        <v>0</v>
      </c>
      <c r="K399" s="1">
        <f>IF(B399="", "", "g")</f>
        <v>0</v>
      </c>
    </row>
    <row r="400" spans="1:11">
      <c r="A400">
        <f>IF(COUNTBLANK(B400:K400)&lt;&gt;COLUMNS(B400:K400),399,"")</f>
        <v>0</v>
      </c>
      <c r="C400" s="2">
        <f>IF(B400="", "", "missing: not provided")</f>
        <v>0</v>
      </c>
      <c r="D400" s="1">
        <f>IF(B400="", "", "weeks")</f>
        <v>0</v>
      </c>
      <c r="E400" s="1">
        <f>IF(B400="", "", "urban biome")</f>
        <v>0</v>
      </c>
      <c r="F400" s="1">
        <f>IF(B400="", "", "animal-associated habitat")</f>
        <v>0</v>
      </c>
      <c r="G400" s="1">
        <f>IF(B400="", "", "mouse")</f>
        <v>0</v>
      </c>
      <c r="H400" s="1">
        <f>IF(B400="", "", "Mus musculus")</f>
        <v>0</v>
      </c>
      <c r="I400" s="1">
        <f>IF(B400="", "", "10090")</f>
        <v>0</v>
      </c>
      <c r="J400" s="2">
        <f>IF(B400="", "", "missing: not provided")</f>
        <v>0</v>
      </c>
      <c r="K400" s="1">
        <f>IF(B400="", "", "g")</f>
        <v>0</v>
      </c>
    </row>
    <row r="401" spans="1:11">
      <c r="A401">
        <f>IF(COUNTBLANK(B401:K401)&lt;&gt;COLUMNS(B401:K401),400,"")</f>
        <v>0</v>
      </c>
      <c r="C401" s="2">
        <f>IF(B401="", "", "missing: not provided")</f>
        <v>0</v>
      </c>
      <c r="D401" s="1">
        <f>IF(B401="", "", "weeks")</f>
        <v>0</v>
      </c>
      <c r="E401" s="1">
        <f>IF(B401="", "", "urban biome")</f>
        <v>0</v>
      </c>
      <c r="F401" s="1">
        <f>IF(B401="", "", "animal-associated habitat")</f>
        <v>0</v>
      </c>
      <c r="G401" s="1">
        <f>IF(B401="", "", "mouse")</f>
        <v>0</v>
      </c>
      <c r="H401" s="1">
        <f>IF(B401="", "", "Mus musculus")</f>
        <v>0</v>
      </c>
      <c r="I401" s="1">
        <f>IF(B401="", "", "10090")</f>
        <v>0</v>
      </c>
      <c r="J401" s="2">
        <f>IF(B401="", "", "missing: not provided")</f>
        <v>0</v>
      </c>
      <c r="K401" s="1">
        <f>IF(B401="", "", "g")</f>
        <v>0</v>
      </c>
    </row>
    <row r="402" spans="1:11">
      <c r="A402">
        <f>IF(COUNTBLANK(B402:K402)&lt;&gt;COLUMNS(B402:K402),401,"")</f>
        <v>0</v>
      </c>
      <c r="C402" s="2">
        <f>IF(B402="", "", "missing: not provided")</f>
        <v>0</v>
      </c>
      <c r="D402" s="1">
        <f>IF(B402="", "", "weeks")</f>
        <v>0</v>
      </c>
      <c r="E402" s="1">
        <f>IF(B402="", "", "urban biome")</f>
        <v>0</v>
      </c>
      <c r="F402" s="1">
        <f>IF(B402="", "", "animal-associated habitat")</f>
        <v>0</v>
      </c>
      <c r="G402" s="1">
        <f>IF(B402="", "", "mouse")</f>
        <v>0</v>
      </c>
      <c r="H402" s="1">
        <f>IF(B402="", "", "Mus musculus")</f>
        <v>0</v>
      </c>
      <c r="I402" s="1">
        <f>IF(B402="", "", "10090")</f>
        <v>0</v>
      </c>
      <c r="J402" s="2">
        <f>IF(B402="", "", "missing: not provided")</f>
        <v>0</v>
      </c>
      <c r="K402" s="1">
        <f>IF(B402="", "", "g")</f>
        <v>0</v>
      </c>
    </row>
    <row r="403" spans="1:11">
      <c r="A403">
        <f>IF(COUNTBLANK(B403:K403)&lt;&gt;COLUMNS(B403:K403),402,"")</f>
        <v>0</v>
      </c>
      <c r="C403" s="2">
        <f>IF(B403="", "", "missing: not provided")</f>
        <v>0</v>
      </c>
      <c r="D403" s="1">
        <f>IF(B403="", "", "weeks")</f>
        <v>0</v>
      </c>
      <c r="E403" s="1">
        <f>IF(B403="", "", "urban biome")</f>
        <v>0</v>
      </c>
      <c r="F403" s="1">
        <f>IF(B403="", "", "animal-associated habitat")</f>
        <v>0</v>
      </c>
      <c r="G403" s="1">
        <f>IF(B403="", "", "mouse")</f>
        <v>0</v>
      </c>
      <c r="H403" s="1">
        <f>IF(B403="", "", "Mus musculus")</f>
        <v>0</v>
      </c>
      <c r="I403" s="1">
        <f>IF(B403="", "", "10090")</f>
        <v>0</v>
      </c>
      <c r="J403" s="2">
        <f>IF(B403="", "", "missing: not provided")</f>
        <v>0</v>
      </c>
      <c r="K403" s="1">
        <f>IF(B403="", "", "g")</f>
        <v>0</v>
      </c>
    </row>
    <row r="404" spans="1:11">
      <c r="A404">
        <f>IF(COUNTBLANK(B404:K404)&lt;&gt;COLUMNS(B404:K404),403,"")</f>
        <v>0</v>
      </c>
      <c r="C404" s="2">
        <f>IF(B404="", "", "missing: not provided")</f>
        <v>0</v>
      </c>
      <c r="D404" s="1">
        <f>IF(B404="", "", "weeks")</f>
        <v>0</v>
      </c>
      <c r="E404" s="1">
        <f>IF(B404="", "", "urban biome")</f>
        <v>0</v>
      </c>
      <c r="F404" s="1">
        <f>IF(B404="", "", "animal-associated habitat")</f>
        <v>0</v>
      </c>
      <c r="G404" s="1">
        <f>IF(B404="", "", "mouse")</f>
        <v>0</v>
      </c>
      <c r="H404" s="1">
        <f>IF(B404="", "", "Mus musculus")</f>
        <v>0</v>
      </c>
      <c r="I404" s="1">
        <f>IF(B404="", "", "10090")</f>
        <v>0</v>
      </c>
      <c r="J404" s="2">
        <f>IF(B404="", "", "missing: not provided")</f>
        <v>0</v>
      </c>
      <c r="K404" s="1">
        <f>IF(B404="", "", "g")</f>
        <v>0</v>
      </c>
    </row>
    <row r="405" spans="1:11">
      <c r="A405">
        <f>IF(COUNTBLANK(B405:K405)&lt;&gt;COLUMNS(B405:K405),404,"")</f>
        <v>0</v>
      </c>
      <c r="C405" s="2">
        <f>IF(B405="", "", "missing: not provided")</f>
        <v>0</v>
      </c>
      <c r="D405" s="1">
        <f>IF(B405="", "", "weeks")</f>
        <v>0</v>
      </c>
      <c r="E405" s="1">
        <f>IF(B405="", "", "urban biome")</f>
        <v>0</v>
      </c>
      <c r="F405" s="1">
        <f>IF(B405="", "", "animal-associated habitat")</f>
        <v>0</v>
      </c>
      <c r="G405" s="1">
        <f>IF(B405="", "", "mouse")</f>
        <v>0</v>
      </c>
      <c r="H405" s="1">
        <f>IF(B405="", "", "Mus musculus")</f>
        <v>0</v>
      </c>
      <c r="I405" s="1">
        <f>IF(B405="", "", "10090")</f>
        <v>0</v>
      </c>
      <c r="J405" s="2">
        <f>IF(B405="", "", "missing: not provided")</f>
        <v>0</v>
      </c>
      <c r="K405" s="1">
        <f>IF(B405="", "", "g")</f>
        <v>0</v>
      </c>
    </row>
    <row r="406" spans="1:11">
      <c r="A406">
        <f>IF(COUNTBLANK(B406:K406)&lt;&gt;COLUMNS(B406:K406),405,"")</f>
        <v>0</v>
      </c>
      <c r="C406" s="2">
        <f>IF(B406="", "", "missing: not provided")</f>
        <v>0</v>
      </c>
      <c r="D406" s="1">
        <f>IF(B406="", "", "weeks")</f>
        <v>0</v>
      </c>
      <c r="E406" s="1">
        <f>IF(B406="", "", "urban biome")</f>
        <v>0</v>
      </c>
      <c r="F406" s="1">
        <f>IF(B406="", "", "animal-associated habitat")</f>
        <v>0</v>
      </c>
      <c r="G406" s="1">
        <f>IF(B406="", "", "mouse")</f>
        <v>0</v>
      </c>
      <c r="H406" s="1">
        <f>IF(B406="", "", "Mus musculus")</f>
        <v>0</v>
      </c>
      <c r="I406" s="1">
        <f>IF(B406="", "", "10090")</f>
        <v>0</v>
      </c>
      <c r="J406" s="2">
        <f>IF(B406="", "", "missing: not provided")</f>
        <v>0</v>
      </c>
      <c r="K406" s="1">
        <f>IF(B406="", "", "g")</f>
        <v>0</v>
      </c>
    </row>
    <row r="407" spans="1:11">
      <c r="A407">
        <f>IF(COUNTBLANK(B407:K407)&lt;&gt;COLUMNS(B407:K407),406,"")</f>
        <v>0</v>
      </c>
      <c r="C407" s="2">
        <f>IF(B407="", "", "missing: not provided")</f>
        <v>0</v>
      </c>
      <c r="D407" s="1">
        <f>IF(B407="", "", "weeks")</f>
        <v>0</v>
      </c>
      <c r="E407" s="1">
        <f>IF(B407="", "", "urban biome")</f>
        <v>0</v>
      </c>
      <c r="F407" s="1">
        <f>IF(B407="", "", "animal-associated habitat")</f>
        <v>0</v>
      </c>
      <c r="G407" s="1">
        <f>IF(B407="", "", "mouse")</f>
        <v>0</v>
      </c>
      <c r="H407" s="1">
        <f>IF(B407="", "", "Mus musculus")</f>
        <v>0</v>
      </c>
      <c r="I407" s="1">
        <f>IF(B407="", "", "10090")</f>
        <v>0</v>
      </c>
      <c r="J407" s="2">
        <f>IF(B407="", "", "missing: not provided")</f>
        <v>0</v>
      </c>
      <c r="K407" s="1">
        <f>IF(B407="", "", "g")</f>
        <v>0</v>
      </c>
    </row>
    <row r="408" spans="1:11">
      <c r="A408">
        <f>IF(COUNTBLANK(B408:K408)&lt;&gt;COLUMNS(B408:K408),407,"")</f>
        <v>0</v>
      </c>
      <c r="C408" s="2">
        <f>IF(B408="", "", "missing: not provided")</f>
        <v>0</v>
      </c>
      <c r="D408" s="1">
        <f>IF(B408="", "", "weeks")</f>
        <v>0</v>
      </c>
      <c r="E408" s="1">
        <f>IF(B408="", "", "urban biome")</f>
        <v>0</v>
      </c>
      <c r="F408" s="1">
        <f>IF(B408="", "", "animal-associated habitat")</f>
        <v>0</v>
      </c>
      <c r="G408" s="1">
        <f>IF(B408="", "", "mouse")</f>
        <v>0</v>
      </c>
      <c r="H408" s="1">
        <f>IF(B408="", "", "Mus musculus")</f>
        <v>0</v>
      </c>
      <c r="I408" s="1">
        <f>IF(B408="", "", "10090")</f>
        <v>0</v>
      </c>
      <c r="J408" s="2">
        <f>IF(B408="", "", "missing: not provided")</f>
        <v>0</v>
      </c>
      <c r="K408" s="1">
        <f>IF(B408="", "", "g")</f>
        <v>0</v>
      </c>
    </row>
    <row r="409" spans="1:11">
      <c r="A409">
        <f>IF(COUNTBLANK(B409:K409)&lt;&gt;COLUMNS(B409:K409),408,"")</f>
        <v>0</v>
      </c>
      <c r="C409" s="2">
        <f>IF(B409="", "", "missing: not provided")</f>
        <v>0</v>
      </c>
      <c r="D409" s="1">
        <f>IF(B409="", "", "weeks")</f>
        <v>0</v>
      </c>
      <c r="E409" s="1">
        <f>IF(B409="", "", "urban biome")</f>
        <v>0</v>
      </c>
      <c r="F409" s="1">
        <f>IF(B409="", "", "animal-associated habitat")</f>
        <v>0</v>
      </c>
      <c r="G409" s="1">
        <f>IF(B409="", "", "mouse")</f>
        <v>0</v>
      </c>
      <c r="H409" s="1">
        <f>IF(B409="", "", "Mus musculus")</f>
        <v>0</v>
      </c>
      <c r="I409" s="1">
        <f>IF(B409="", "", "10090")</f>
        <v>0</v>
      </c>
      <c r="J409" s="2">
        <f>IF(B409="", "", "missing: not provided")</f>
        <v>0</v>
      </c>
      <c r="K409" s="1">
        <f>IF(B409="", "", "g")</f>
        <v>0</v>
      </c>
    </row>
    <row r="410" spans="1:11">
      <c r="A410">
        <f>IF(COUNTBLANK(B410:K410)&lt;&gt;COLUMNS(B410:K410),409,"")</f>
        <v>0</v>
      </c>
      <c r="C410" s="2">
        <f>IF(B410="", "", "missing: not provided")</f>
        <v>0</v>
      </c>
      <c r="D410" s="1">
        <f>IF(B410="", "", "weeks")</f>
        <v>0</v>
      </c>
      <c r="E410" s="1">
        <f>IF(B410="", "", "urban biome")</f>
        <v>0</v>
      </c>
      <c r="F410" s="1">
        <f>IF(B410="", "", "animal-associated habitat")</f>
        <v>0</v>
      </c>
      <c r="G410" s="1">
        <f>IF(B410="", "", "mouse")</f>
        <v>0</v>
      </c>
      <c r="H410" s="1">
        <f>IF(B410="", "", "Mus musculus")</f>
        <v>0</v>
      </c>
      <c r="I410" s="1">
        <f>IF(B410="", "", "10090")</f>
        <v>0</v>
      </c>
      <c r="J410" s="2">
        <f>IF(B410="", "", "missing: not provided")</f>
        <v>0</v>
      </c>
      <c r="K410" s="1">
        <f>IF(B410="", "", "g")</f>
        <v>0</v>
      </c>
    </row>
    <row r="411" spans="1:11">
      <c r="A411">
        <f>IF(COUNTBLANK(B411:K411)&lt;&gt;COLUMNS(B411:K411),410,"")</f>
        <v>0</v>
      </c>
      <c r="C411" s="2">
        <f>IF(B411="", "", "missing: not provided")</f>
        <v>0</v>
      </c>
      <c r="D411" s="1">
        <f>IF(B411="", "", "weeks")</f>
        <v>0</v>
      </c>
      <c r="E411" s="1">
        <f>IF(B411="", "", "urban biome")</f>
        <v>0</v>
      </c>
      <c r="F411" s="1">
        <f>IF(B411="", "", "animal-associated habitat")</f>
        <v>0</v>
      </c>
      <c r="G411" s="1">
        <f>IF(B411="", "", "mouse")</f>
        <v>0</v>
      </c>
      <c r="H411" s="1">
        <f>IF(B411="", "", "Mus musculus")</f>
        <v>0</v>
      </c>
      <c r="I411" s="1">
        <f>IF(B411="", "", "10090")</f>
        <v>0</v>
      </c>
      <c r="J411" s="2">
        <f>IF(B411="", "", "missing: not provided")</f>
        <v>0</v>
      </c>
      <c r="K411" s="1">
        <f>IF(B411="", "", "g")</f>
        <v>0</v>
      </c>
    </row>
    <row r="412" spans="1:11">
      <c r="A412">
        <f>IF(COUNTBLANK(B412:K412)&lt;&gt;COLUMNS(B412:K412),411,"")</f>
        <v>0</v>
      </c>
      <c r="C412" s="2">
        <f>IF(B412="", "", "missing: not provided")</f>
        <v>0</v>
      </c>
      <c r="D412" s="1">
        <f>IF(B412="", "", "weeks")</f>
        <v>0</v>
      </c>
      <c r="E412" s="1">
        <f>IF(B412="", "", "urban biome")</f>
        <v>0</v>
      </c>
      <c r="F412" s="1">
        <f>IF(B412="", "", "animal-associated habitat")</f>
        <v>0</v>
      </c>
      <c r="G412" s="1">
        <f>IF(B412="", "", "mouse")</f>
        <v>0</v>
      </c>
      <c r="H412" s="1">
        <f>IF(B412="", "", "Mus musculus")</f>
        <v>0</v>
      </c>
      <c r="I412" s="1">
        <f>IF(B412="", "", "10090")</f>
        <v>0</v>
      </c>
      <c r="J412" s="2">
        <f>IF(B412="", "", "missing: not provided")</f>
        <v>0</v>
      </c>
      <c r="K412" s="1">
        <f>IF(B412="", "", "g")</f>
        <v>0</v>
      </c>
    </row>
    <row r="413" spans="1:11">
      <c r="A413">
        <f>IF(COUNTBLANK(B413:K413)&lt;&gt;COLUMNS(B413:K413),412,"")</f>
        <v>0</v>
      </c>
      <c r="C413" s="2">
        <f>IF(B413="", "", "missing: not provided")</f>
        <v>0</v>
      </c>
      <c r="D413" s="1">
        <f>IF(B413="", "", "weeks")</f>
        <v>0</v>
      </c>
      <c r="E413" s="1">
        <f>IF(B413="", "", "urban biome")</f>
        <v>0</v>
      </c>
      <c r="F413" s="1">
        <f>IF(B413="", "", "animal-associated habitat")</f>
        <v>0</v>
      </c>
      <c r="G413" s="1">
        <f>IF(B413="", "", "mouse")</f>
        <v>0</v>
      </c>
      <c r="H413" s="1">
        <f>IF(B413="", "", "Mus musculus")</f>
        <v>0</v>
      </c>
      <c r="I413" s="1">
        <f>IF(B413="", "", "10090")</f>
        <v>0</v>
      </c>
      <c r="J413" s="2">
        <f>IF(B413="", "", "missing: not provided")</f>
        <v>0</v>
      </c>
      <c r="K413" s="1">
        <f>IF(B413="", "", "g")</f>
        <v>0</v>
      </c>
    </row>
    <row r="414" spans="1:11">
      <c r="A414">
        <f>IF(COUNTBLANK(B414:K414)&lt;&gt;COLUMNS(B414:K414),413,"")</f>
        <v>0</v>
      </c>
      <c r="C414" s="2">
        <f>IF(B414="", "", "missing: not provided")</f>
        <v>0</v>
      </c>
      <c r="D414" s="1">
        <f>IF(B414="", "", "weeks")</f>
        <v>0</v>
      </c>
      <c r="E414" s="1">
        <f>IF(B414="", "", "urban biome")</f>
        <v>0</v>
      </c>
      <c r="F414" s="1">
        <f>IF(B414="", "", "animal-associated habitat")</f>
        <v>0</v>
      </c>
      <c r="G414" s="1">
        <f>IF(B414="", "", "mouse")</f>
        <v>0</v>
      </c>
      <c r="H414" s="1">
        <f>IF(B414="", "", "Mus musculus")</f>
        <v>0</v>
      </c>
      <c r="I414" s="1">
        <f>IF(B414="", "", "10090")</f>
        <v>0</v>
      </c>
      <c r="J414" s="2">
        <f>IF(B414="", "", "missing: not provided")</f>
        <v>0</v>
      </c>
      <c r="K414" s="1">
        <f>IF(B414="", "", "g")</f>
        <v>0</v>
      </c>
    </row>
    <row r="415" spans="1:11">
      <c r="A415">
        <f>IF(COUNTBLANK(B415:K415)&lt;&gt;COLUMNS(B415:K415),414,"")</f>
        <v>0</v>
      </c>
      <c r="C415" s="2">
        <f>IF(B415="", "", "missing: not provided")</f>
        <v>0</v>
      </c>
      <c r="D415" s="1">
        <f>IF(B415="", "", "weeks")</f>
        <v>0</v>
      </c>
      <c r="E415" s="1">
        <f>IF(B415="", "", "urban biome")</f>
        <v>0</v>
      </c>
      <c r="F415" s="1">
        <f>IF(B415="", "", "animal-associated habitat")</f>
        <v>0</v>
      </c>
      <c r="G415" s="1">
        <f>IF(B415="", "", "mouse")</f>
        <v>0</v>
      </c>
      <c r="H415" s="1">
        <f>IF(B415="", "", "Mus musculus")</f>
        <v>0</v>
      </c>
      <c r="I415" s="1">
        <f>IF(B415="", "", "10090")</f>
        <v>0</v>
      </c>
      <c r="J415" s="2">
        <f>IF(B415="", "", "missing: not provided")</f>
        <v>0</v>
      </c>
      <c r="K415" s="1">
        <f>IF(B415="", "", "g")</f>
        <v>0</v>
      </c>
    </row>
    <row r="416" spans="1:11">
      <c r="A416">
        <f>IF(COUNTBLANK(B416:K416)&lt;&gt;COLUMNS(B416:K416),415,"")</f>
        <v>0</v>
      </c>
      <c r="C416" s="2">
        <f>IF(B416="", "", "missing: not provided")</f>
        <v>0</v>
      </c>
      <c r="D416" s="1">
        <f>IF(B416="", "", "weeks")</f>
        <v>0</v>
      </c>
      <c r="E416" s="1">
        <f>IF(B416="", "", "urban biome")</f>
        <v>0</v>
      </c>
      <c r="F416" s="1">
        <f>IF(B416="", "", "animal-associated habitat")</f>
        <v>0</v>
      </c>
      <c r="G416" s="1">
        <f>IF(B416="", "", "mouse")</f>
        <v>0</v>
      </c>
      <c r="H416" s="1">
        <f>IF(B416="", "", "Mus musculus")</f>
        <v>0</v>
      </c>
      <c r="I416" s="1">
        <f>IF(B416="", "", "10090")</f>
        <v>0</v>
      </c>
      <c r="J416" s="2">
        <f>IF(B416="", "", "missing: not provided")</f>
        <v>0</v>
      </c>
      <c r="K416" s="1">
        <f>IF(B416="", "", "g")</f>
        <v>0</v>
      </c>
    </row>
    <row r="417" spans="1:11">
      <c r="A417">
        <f>IF(COUNTBLANK(B417:K417)&lt;&gt;COLUMNS(B417:K417),416,"")</f>
        <v>0</v>
      </c>
      <c r="C417" s="2">
        <f>IF(B417="", "", "missing: not provided")</f>
        <v>0</v>
      </c>
      <c r="D417" s="1">
        <f>IF(B417="", "", "weeks")</f>
        <v>0</v>
      </c>
      <c r="E417" s="1">
        <f>IF(B417="", "", "urban biome")</f>
        <v>0</v>
      </c>
      <c r="F417" s="1">
        <f>IF(B417="", "", "animal-associated habitat")</f>
        <v>0</v>
      </c>
      <c r="G417" s="1">
        <f>IF(B417="", "", "mouse")</f>
        <v>0</v>
      </c>
      <c r="H417" s="1">
        <f>IF(B417="", "", "Mus musculus")</f>
        <v>0</v>
      </c>
      <c r="I417" s="1">
        <f>IF(B417="", "", "10090")</f>
        <v>0</v>
      </c>
      <c r="J417" s="2">
        <f>IF(B417="", "", "missing: not provided")</f>
        <v>0</v>
      </c>
      <c r="K417" s="1">
        <f>IF(B417="", "", "g")</f>
        <v>0</v>
      </c>
    </row>
    <row r="418" spans="1:11">
      <c r="A418">
        <f>IF(COUNTBLANK(B418:K418)&lt;&gt;COLUMNS(B418:K418),417,"")</f>
        <v>0</v>
      </c>
      <c r="C418" s="2">
        <f>IF(B418="", "", "missing: not provided")</f>
        <v>0</v>
      </c>
      <c r="D418" s="1">
        <f>IF(B418="", "", "weeks")</f>
        <v>0</v>
      </c>
      <c r="E418" s="1">
        <f>IF(B418="", "", "urban biome")</f>
        <v>0</v>
      </c>
      <c r="F418" s="1">
        <f>IF(B418="", "", "animal-associated habitat")</f>
        <v>0</v>
      </c>
      <c r="G418" s="1">
        <f>IF(B418="", "", "mouse")</f>
        <v>0</v>
      </c>
      <c r="H418" s="1">
        <f>IF(B418="", "", "Mus musculus")</f>
        <v>0</v>
      </c>
      <c r="I418" s="1">
        <f>IF(B418="", "", "10090")</f>
        <v>0</v>
      </c>
      <c r="J418" s="2">
        <f>IF(B418="", "", "missing: not provided")</f>
        <v>0</v>
      </c>
      <c r="K418" s="1">
        <f>IF(B418="", "", "g")</f>
        <v>0</v>
      </c>
    </row>
    <row r="419" spans="1:11">
      <c r="A419">
        <f>IF(COUNTBLANK(B419:K419)&lt;&gt;COLUMNS(B419:K419),418,"")</f>
        <v>0</v>
      </c>
      <c r="C419" s="2">
        <f>IF(B419="", "", "missing: not provided")</f>
        <v>0</v>
      </c>
      <c r="D419" s="1">
        <f>IF(B419="", "", "weeks")</f>
        <v>0</v>
      </c>
      <c r="E419" s="1">
        <f>IF(B419="", "", "urban biome")</f>
        <v>0</v>
      </c>
      <c r="F419" s="1">
        <f>IF(B419="", "", "animal-associated habitat")</f>
        <v>0</v>
      </c>
      <c r="G419" s="1">
        <f>IF(B419="", "", "mouse")</f>
        <v>0</v>
      </c>
      <c r="H419" s="1">
        <f>IF(B419="", "", "Mus musculus")</f>
        <v>0</v>
      </c>
      <c r="I419" s="1">
        <f>IF(B419="", "", "10090")</f>
        <v>0</v>
      </c>
      <c r="J419" s="2">
        <f>IF(B419="", "", "missing: not provided")</f>
        <v>0</v>
      </c>
      <c r="K419" s="1">
        <f>IF(B419="", "", "g")</f>
        <v>0</v>
      </c>
    </row>
    <row r="420" spans="1:11">
      <c r="A420">
        <f>IF(COUNTBLANK(B420:K420)&lt;&gt;COLUMNS(B420:K420),419,"")</f>
        <v>0</v>
      </c>
      <c r="C420" s="2">
        <f>IF(B420="", "", "missing: not provided")</f>
        <v>0</v>
      </c>
      <c r="D420" s="1">
        <f>IF(B420="", "", "weeks")</f>
        <v>0</v>
      </c>
      <c r="E420" s="1">
        <f>IF(B420="", "", "urban biome")</f>
        <v>0</v>
      </c>
      <c r="F420" s="1">
        <f>IF(B420="", "", "animal-associated habitat")</f>
        <v>0</v>
      </c>
      <c r="G420" s="1">
        <f>IF(B420="", "", "mouse")</f>
        <v>0</v>
      </c>
      <c r="H420" s="1">
        <f>IF(B420="", "", "Mus musculus")</f>
        <v>0</v>
      </c>
      <c r="I420" s="1">
        <f>IF(B420="", "", "10090")</f>
        <v>0</v>
      </c>
      <c r="J420" s="2">
        <f>IF(B420="", "", "missing: not provided")</f>
        <v>0</v>
      </c>
      <c r="K420" s="1">
        <f>IF(B420="", "", "g")</f>
        <v>0</v>
      </c>
    </row>
    <row r="421" spans="1:11">
      <c r="A421">
        <f>IF(COUNTBLANK(B421:K421)&lt;&gt;COLUMNS(B421:K421),420,"")</f>
        <v>0</v>
      </c>
      <c r="C421" s="2">
        <f>IF(B421="", "", "missing: not provided")</f>
        <v>0</v>
      </c>
      <c r="D421" s="1">
        <f>IF(B421="", "", "weeks")</f>
        <v>0</v>
      </c>
      <c r="E421" s="1">
        <f>IF(B421="", "", "urban biome")</f>
        <v>0</v>
      </c>
      <c r="F421" s="1">
        <f>IF(B421="", "", "animal-associated habitat")</f>
        <v>0</v>
      </c>
      <c r="G421" s="1">
        <f>IF(B421="", "", "mouse")</f>
        <v>0</v>
      </c>
      <c r="H421" s="1">
        <f>IF(B421="", "", "Mus musculus")</f>
        <v>0</v>
      </c>
      <c r="I421" s="1">
        <f>IF(B421="", "", "10090")</f>
        <v>0</v>
      </c>
      <c r="J421" s="2">
        <f>IF(B421="", "", "missing: not provided")</f>
        <v>0</v>
      </c>
      <c r="K421" s="1">
        <f>IF(B421="", "", "g")</f>
        <v>0</v>
      </c>
    </row>
    <row r="422" spans="1:11">
      <c r="A422">
        <f>IF(COUNTBLANK(B422:K422)&lt;&gt;COLUMNS(B422:K422),421,"")</f>
        <v>0</v>
      </c>
      <c r="C422" s="2">
        <f>IF(B422="", "", "missing: not provided")</f>
        <v>0</v>
      </c>
      <c r="D422" s="1">
        <f>IF(B422="", "", "weeks")</f>
        <v>0</v>
      </c>
      <c r="E422" s="1">
        <f>IF(B422="", "", "urban biome")</f>
        <v>0</v>
      </c>
      <c r="F422" s="1">
        <f>IF(B422="", "", "animal-associated habitat")</f>
        <v>0</v>
      </c>
      <c r="G422" s="1">
        <f>IF(B422="", "", "mouse")</f>
        <v>0</v>
      </c>
      <c r="H422" s="1">
        <f>IF(B422="", "", "Mus musculus")</f>
        <v>0</v>
      </c>
      <c r="I422" s="1">
        <f>IF(B422="", "", "10090")</f>
        <v>0</v>
      </c>
      <c r="J422" s="2">
        <f>IF(B422="", "", "missing: not provided")</f>
        <v>0</v>
      </c>
      <c r="K422" s="1">
        <f>IF(B422="", "", "g")</f>
        <v>0</v>
      </c>
    </row>
    <row r="423" spans="1:11">
      <c r="A423">
        <f>IF(COUNTBLANK(B423:K423)&lt;&gt;COLUMNS(B423:K423),422,"")</f>
        <v>0</v>
      </c>
      <c r="C423" s="2">
        <f>IF(B423="", "", "missing: not provided")</f>
        <v>0</v>
      </c>
      <c r="D423" s="1">
        <f>IF(B423="", "", "weeks")</f>
        <v>0</v>
      </c>
      <c r="E423" s="1">
        <f>IF(B423="", "", "urban biome")</f>
        <v>0</v>
      </c>
      <c r="F423" s="1">
        <f>IF(B423="", "", "animal-associated habitat")</f>
        <v>0</v>
      </c>
      <c r="G423" s="1">
        <f>IF(B423="", "", "mouse")</f>
        <v>0</v>
      </c>
      <c r="H423" s="1">
        <f>IF(B423="", "", "Mus musculus")</f>
        <v>0</v>
      </c>
      <c r="I423" s="1">
        <f>IF(B423="", "", "10090")</f>
        <v>0</v>
      </c>
      <c r="J423" s="2">
        <f>IF(B423="", "", "missing: not provided")</f>
        <v>0</v>
      </c>
      <c r="K423" s="1">
        <f>IF(B423="", "", "g")</f>
        <v>0</v>
      </c>
    </row>
    <row r="424" spans="1:11">
      <c r="A424">
        <f>IF(COUNTBLANK(B424:K424)&lt;&gt;COLUMNS(B424:K424),423,"")</f>
        <v>0</v>
      </c>
      <c r="C424" s="2">
        <f>IF(B424="", "", "missing: not provided")</f>
        <v>0</v>
      </c>
      <c r="D424" s="1">
        <f>IF(B424="", "", "weeks")</f>
        <v>0</v>
      </c>
      <c r="E424" s="1">
        <f>IF(B424="", "", "urban biome")</f>
        <v>0</v>
      </c>
      <c r="F424" s="1">
        <f>IF(B424="", "", "animal-associated habitat")</f>
        <v>0</v>
      </c>
      <c r="G424" s="1">
        <f>IF(B424="", "", "mouse")</f>
        <v>0</v>
      </c>
      <c r="H424" s="1">
        <f>IF(B424="", "", "Mus musculus")</f>
        <v>0</v>
      </c>
      <c r="I424" s="1">
        <f>IF(B424="", "", "10090")</f>
        <v>0</v>
      </c>
      <c r="J424" s="2">
        <f>IF(B424="", "", "missing: not provided")</f>
        <v>0</v>
      </c>
      <c r="K424" s="1">
        <f>IF(B424="", "", "g")</f>
        <v>0</v>
      </c>
    </row>
    <row r="425" spans="1:11">
      <c r="A425">
        <f>IF(COUNTBLANK(B425:K425)&lt;&gt;COLUMNS(B425:K425),424,"")</f>
        <v>0</v>
      </c>
      <c r="C425" s="2">
        <f>IF(B425="", "", "missing: not provided")</f>
        <v>0</v>
      </c>
      <c r="D425" s="1">
        <f>IF(B425="", "", "weeks")</f>
        <v>0</v>
      </c>
      <c r="E425" s="1">
        <f>IF(B425="", "", "urban biome")</f>
        <v>0</v>
      </c>
      <c r="F425" s="1">
        <f>IF(B425="", "", "animal-associated habitat")</f>
        <v>0</v>
      </c>
      <c r="G425" s="1">
        <f>IF(B425="", "", "mouse")</f>
        <v>0</v>
      </c>
      <c r="H425" s="1">
        <f>IF(B425="", "", "Mus musculus")</f>
        <v>0</v>
      </c>
      <c r="I425" s="1">
        <f>IF(B425="", "", "10090")</f>
        <v>0</v>
      </c>
      <c r="J425" s="2">
        <f>IF(B425="", "", "missing: not provided")</f>
        <v>0</v>
      </c>
      <c r="K425" s="1">
        <f>IF(B425="", "", "g")</f>
        <v>0</v>
      </c>
    </row>
    <row r="426" spans="1:11">
      <c r="A426">
        <f>IF(COUNTBLANK(B426:K426)&lt;&gt;COLUMNS(B426:K426),425,"")</f>
        <v>0</v>
      </c>
      <c r="C426" s="2">
        <f>IF(B426="", "", "missing: not provided")</f>
        <v>0</v>
      </c>
      <c r="D426" s="1">
        <f>IF(B426="", "", "weeks")</f>
        <v>0</v>
      </c>
      <c r="E426" s="1">
        <f>IF(B426="", "", "urban biome")</f>
        <v>0</v>
      </c>
      <c r="F426" s="1">
        <f>IF(B426="", "", "animal-associated habitat")</f>
        <v>0</v>
      </c>
      <c r="G426" s="1">
        <f>IF(B426="", "", "mouse")</f>
        <v>0</v>
      </c>
      <c r="H426" s="1">
        <f>IF(B426="", "", "Mus musculus")</f>
        <v>0</v>
      </c>
      <c r="I426" s="1">
        <f>IF(B426="", "", "10090")</f>
        <v>0</v>
      </c>
      <c r="J426" s="2">
        <f>IF(B426="", "", "missing: not provided")</f>
        <v>0</v>
      </c>
      <c r="K426" s="1">
        <f>IF(B426="", "", "g")</f>
        <v>0</v>
      </c>
    </row>
    <row r="427" spans="1:11">
      <c r="A427">
        <f>IF(COUNTBLANK(B427:K427)&lt;&gt;COLUMNS(B427:K427),426,"")</f>
        <v>0</v>
      </c>
      <c r="C427" s="2">
        <f>IF(B427="", "", "missing: not provided")</f>
        <v>0</v>
      </c>
      <c r="D427" s="1">
        <f>IF(B427="", "", "weeks")</f>
        <v>0</v>
      </c>
      <c r="E427" s="1">
        <f>IF(B427="", "", "urban biome")</f>
        <v>0</v>
      </c>
      <c r="F427" s="1">
        <f>IF(B427="", "", "animal-associated habitat")</f>
        <v>0</v>
      </c>
      <c r="G427" s="1">
        <f>IF(B427="", "", "mouse")</f>
        <v>0</v>
      </c>
      <c r="H427" s="1">
        <f>IF(B427="", "", "Mus musculus")</f>
        <v>0</v>
      </c>
      <c r="I427" s="1">
        <f>IF(B427="", "", "10090")</f>
        <v>0</v>
      </c>
      <c r="J427" s="2">
        <f>IF(B427="", "", "missing: not provided")</f>
        <v>0</v>
      </c>
      <c r="K427" s="1">
        <f>IF(B427="", "", "g")</f>
        <v>0</v>
      </c>
    </row>
    <row r="428" spans="1:11">
      <c r="A428">
        <f>IF(COUNTBLANK(B428:K428)&lt;&gt;COLUMNS(B428:K428),427,"")</f>
        <v>0</v>
      </c>
      <c r="C428" s="2">
        <f>IF(B428="", "", "missing: not provided")</f>
        <v>0</v>
      </c>
      <c r="D428" s="1">
        <f>IF(B428="", "", "weeks")</f>
        <v>0</v>
      </c>
      <c r="E428" s="1">
        <f>IF(B428="", "", "urban biome")</f>
        <v>0</v>
      </c>
      <c r="F428" s="1">
        <f>IF(B428="", "", "animal-associated habitat")</f>
        <v>0</v>
      </c>
      <c r="G428" s="1">
        <f>IF(B428="", "", "mouse")</f>
        <v>0</v>
      </c>
      <c r="H428" s="1">
        <f>IF(B428="", "", "Mus musculus")</f>
        <v>0</v>
      </c>
      <c r="I428" s="1">
        <f>IF(B428="", "", "10090")</f>
        <v>0</v>
      </c>
      <c r="J428" s="2">
        <f>IF(B428="", "", "missing: not provided")</f>
        <v>0</v>
      </c>
      <c r="K428" s="1">
        <f>IF(B428="", "", "g")</f>
        <v>0</v>
      </c>
    </row>
    <row r="429" spans="1:11">
      <c r="A429">
        <f>IF(COUNTBLANK(B429:K429)&lt;&gt;COLUMNS(B429:K429),428,"")</f>
        <v>0</v>
      </c>
      <c r="C429" s="2">
        <f>IF(B429="", "", "missing: not provided")</f>
        <v>0</v>
      </c>
      <c r="D429" s="1">
        <f>IF(B429="", "", "weeks")</f>
        <v>0</v>
      </c>
      <c r="E429" s="1">
        <f>IF(B429="", "", "urban biome")</f>
        <v>0</v>
      </c>
      <c r="F429" s="1">
        <f>IF(B429="", "", "animal-associated habitat")</f>
        <v>0</v>
      </c>
      <c r="G429" s="1">
        <f>IF(B429="", "", "mouse")</f>
        <v>0</v>
      </c>
      <c r="H429" s="1">
        <f>IF(B429="", "", "Mus musculus")</f>
        <v>0</v>
      </c>
      <c r="I429" s="1">
        <f>IF(B429="", "", "10090")</f>
        <v>0</v>
      </c>
      <c r="J429" s="2">
        <f>IF(B429="", "", "missing: not provided")</f>
        <v>0</v>
      </c>
      <c r="K429" s="1">
        <f>IF(B429="", "", "g")</f>
        <v>0</v>
      </c>
    </row>
    <row r="430" spans="1:11">
      <c r="A430">
        <f>IF(COUNTBLANK(B430:K430)&lt;&gt;COLUMNS(B430:K430),429,"")</f>
        <v>0</v>
      </c>
      <c r="C430" s="2">
        <f>IF(B430="", "", "missing: not provided")</f>
        <v>0</v>
      </c>
      <c r="D430" s="1">
        <f>IF(B430="", "", "weeks")</f>
        <v>0</v>
      </c>
      <c r="E430" s="1">
        <f>IF(B430="", "", "urban biome")</f>
        <v>0</v>
      </c>
      <c r="F430" s="1">
        <f>IF(B430="", "", "animal-associated habitat")</f>
        <v>0</v>
      </c>
      <c r="G430" s="1">
        <f>IF(B430="", "", "mouse")</f>
        <v>0</v>
      </c>
      <c r="H430" s="1">
        <f>IF(B430="", "", "Mus musculus")</f>
        <v>0</v>
      </c>
      <c r="I430" s="1">
        <f>IF(B430="", "", "10090")</f>
        <v>0</v>
      </c>
      <c r="J430" s="2">
        <f>IF(B430="", "", "missing: not provided")</f>
        <v>0</v>
      </c>
      <c r="K430" s="1">
        <f>IF(B430="", "", "g")</f>
        <v>0</v>
      </c>
    </row>
    <row r="431" spans="1:11">
      <c r="A431">
        <f>IF(COUNTBLANK(B431:K431)&lt;&gt;COLUMNS(B431:K431),430,"")</f>
        <v>0</v>
      </c>
      <c r="C431" s="2">
        <f>IF(B431="", "", "missing: not provided")</f>
        <v>0</v>
      </c>
      <c r="D431" s="1">
        <f>IF(B431="", "", "weeks")</f>
        <v>0</v>
      </c>
      <c r="E431" s="1">
        <f>IF(B431="", "", "urban biome")</f>
        <v>0</v>
      </c>
      <c r="F431" s="1">
        <f>IF(B431="", "", "animal-associated habitat")</f>
        <v>0</v>
      </c>
      <c r="G431" s="1">
        <f>IF(B431="", "", "mouse")</f>
        <v>0</v>
      </c>
      <c r="H431" s="1">
        <f>IF(B431="", "", "Mus musculus")</f>
        <v>0</v>
      </c>
      <c r="I431" s="1">
        <f>IF(B431="", "", "10090")</f>
        <v>0</v>
      </c>
      <c r="J431" s="2">
        <f>IF(B431="", "", "missing: not provided")</f>
        <v>0</v>
      </c>
      <c r="K431" s="1">
        <f>IF(B431="", "", "g")</f>
        <v>0</v>
      </c>
    </row>
    <row r="432" spans="1:11">
      <c r="A432">
        <f>IF(COUNTBLANK(B432:K432)&lt;&gt;COLUMNS(B432:K432),431,"")</f>
        <v>0</v>
      </c>
      <c r="C432" s="2">
        <f>IF(B432="", "", "missing: not provided")</f>
        <v>0</v>
      </c>
      <c r="D432" s="1">
        <f>IF(B432="", "", "weeks")</f>
        <v>0</v>
      </c>
      <c r="E432" s="1">
        <f>IF(B432="", "", "urban biome")</f>
        <v>0</v>
      </c>
      <c r="F432" s="1">
        <f>IF(B432="", "", "animal-associated habitat")</f>
        <v>0</v>
      </c>
      <c r="G432" s="1">
        <f>IF(B432="", "", "mouse")</f>
        <v>0</v>
      </c>
      <c r="H432" s="1">
        <f>IF(B432="", "", "Mus musculus")</f>
        <v>0</v>
      </c>
      <c r="I432" s="1">
        <f>IF(B432="", "", "10090")</f>
        <v>0</v>
      </c>
      <c r="J432" s="2">
        <f>IF(B432="", "", "missing: not provided")</f>
        <v>0</v>
      </c>
      <c r="K432" s="1">
        <f>IF(B432="", "", "g")</f>
        <v>0</v>
      </c>
    </row>
    <row r="433" spans="1:11">
      <c r="A433">
        <f>IF(COUNTBLANK(B433:K433)&lt;&gt;COLUMNS(B433:K433),432,"")</f>
        <v>0</v>
      </c>
      <c r="C433" s="2">
        <f>IF(B433="", "", "missing: not provided")</f>
        <v>0</v>
      </c>
      <c r="D433" s="1">
        <f>IF(B433="", "", "weeks")</f>
        <v>0</v>
      </c>
      <c r="E433" s="1">
        <f>IF(B433="", "", "urban biome")</f>
        <v>0</v>
      </c>
      <c r="F433" s="1">
        <f>IF(B433="", "", "animal-associated habitat")</f>
        <v>0</v>
      </c>
      <c r="G433" s="1">
        <f>IF(B433="", "", "mouse")</f>
        <v>0</v>
      </c>
      <c r="H433" s="1">
        <f>IF(B433="", "", "Mus musculus")</f>
        <v>0</v>
      </c>
      <c r="I433" s="1">
        <f>IF(B433="", "", "10090")</f>
        <v>0</v>
      </c>
      <c r="J433" s="2">
        <f>IF(B433="", "", "missing: not provided")</f>
        <v>0</v>
      </c>
      <c r="K433" s="1">
        <f>IF(B433="", "", "g")</f>
        <v>0</v>
      </c>
    </row>
    <row r="434" spans="1:11">
      <c r="A434">
        <f>IF(COUNTBLANK(B434:K434)&lt;&gt;COLUMNS(B434:K434),433,"")</f>
        <v>0</v>
      </c>
      <c r="C434" s="2">
        <f>IF(B434="", "", "missing: not provided")</f>
        <v>0</v>
      </c>
      <c r="D434" s="1">
        <f>IF(B434="", "", "weeks")</f>
        <v>0</v>
      </c>
      <c r="E434" s="1">
        <f>IF(B434="", "", "urban biome")</f>
        <v>0</v>
      </c>
      <c r="F434" s="1">
        <f>IF(B434="", "", "animal-associated habitat")</f>
        <v>0</v>
      </c>
      <c r="G434" s="1">
        <f>IF(B434="", "", "mouse")</f>
        <v>0</v>
      </c>
      <c r="H434" s="1">
        <f>IF(B434="", "", "Mus musculus")</f>
        <v>0</v>
      </c>
      <c r="I434" s="1">
        <f>IF(B434="", "", "10090")</f>
        <v>0</v>
      </c>
      <c r="J434" s="2">
        <f>IF(B434="", "", "missing: not provided")</f>
        <v>0</v>
      </c>
      <c r="K434" s="1">
        <f>IF(B434="", "", "g")</f>
        <v>0</v>
      </c>
    </row>
    <row r="435" spans="1:11">
      <c r="A435">
        <f>IF(COUNTBLANK(B435:K435)&lt;&gt;COLUMNS(B435:K435),434,"")</f>
        <v>0</v>
      </c>
      <c r="C435" s="2">
        <f>IF(B435="", "", "missing: not provided")</f>
        <v>0</v>
      </c>
      <c r="D435" s="1">
        <f>IF(B435="", "", "weeks")</f>
        <v>0</v>
      </c>
      <c r="E435" s="1">
        <f>IF(B435="", "", "urban biome")</f>
        <v>0</v>
      </c>
      <c r="F435" s="1">
        <f>IF(B435="", "", "animal-associated habitat")</f>
        <v>0</v>
      </c>
      <c r="G435" s="1">
        <f>IF(B435="", "", "mouse")</f>
        <v>0</v>
      </c>
      <c r="H435" s="1">
        <f>IF(B435="", "", "Mus musculus")</f>
        <v>0</v>
      </c>
      <c r="I435" s="1">
        <f>IF(B435="", "", "10090")</f>
        <v>0</v>
      </c>
      <c r="J435" s="2">
        <f>IF(B435="", "", "missing: not provided")</f>
        <v>0</v>
      </c>
      <c r="K435" s="1">
        <f>IF(B435="", "", "g")</f>
        <v>0</v>
      </c>
    </row>
    <row r="436" spans="1:11">
      <c r="A436">
        <f>IF(COUNTBLANK(B436:K436)&lt;&gt;COLUMNS(B436:K436),435,"")</f>
        <v>0</v>
      </c>
      <c r="C436" s="2">
        <f>IF(B436="", "", "missing: not provided")</f>
        <v>0</v>
      </c>
      <c r="D436" s="1">
        <f>IF(B436="", "", "weeks")</f>
        <v>0</v>
      </c>
      <c r="E436" s="1">
        <f>IF(B436="", "", "urban biome")</f>
        <v>0</v>
      </c>
      <c r="F436" s="1">
        <f>IF(B436="", "", "animal-associated habitat")</f>
        <v>0</v>
      </c>
      <c r="G436" s="1">
        <f>IF(B436="", "", "mouse")</f>
        <v>0</v>
      </c>
      <c r="H436" s="1">
        <f>IF(B436="", "", "Mus musculus")</f>
        <v>0</v>
      </c>
      <c r="I436" s="1">
        <f>IF(B436="", "", "10090")</f>
        <v>0</v>
      </c>
      <c r="J436" s="2">
        <f>IF(B436="", "", "missing: not provided")</f>
        <v>0</v>
      </c>
      <c r="K436" s="1">
        <f>IF(B436="", "", "g")</f>
        <v>0</v>
      </c>
    </row>
    <row r="437" spans="1:11">
      <c r="A437">
        <f>IF(COUNTBLANK(B437:K437)&lt;&gt;COLUMNS(B437:K437),436,"")</f>
        <v>0</v>
      </c>
      <c r="C437" s="2">
        <f>IF(B437="", "", "missing: not provided")</f>
        <v>0</v>
      </c>
      <c r="D437" s="1">
        <f>IF(B437="", "", "weeks")</f>
        <v>0</v>
      </c>
      <c r="E437" s="1">
        <f>IF(B437="", "", "urban biome")</f>
        <v>0</v>
      </c>
      <c r="F437" s="1">
        <f>IF(B437="", "", "animal-associated habitat")</f>
        <v>0</v>
      </c>
      <c r="G437" s="1">
        <f>IF(B437="", "", "mouse")</f>
        <v>0</v>
      </c>
      <c r="H437" s="1">
        <f>IF(B437="", "", "Mus musculus")</f>
        <v>0</v>
      </c>
      <c r="I437" s="1">
        <f>IF(B437="", "", "10090")</f>
        <v>0</v>
      </c>
      <c r="J437" s="2">
        <f>IF(B437="", "", "missing: not provided")</f>
        <v>0</v>
      </c>
      <c r="K437" s="1">
        <f>IF(B437="", "", "g")</f>
        <v>0</v>
      </c>
    </row>
    <row r="438" spans="1:11">
      <c r="A438">
        <f>IF(COUNTBLANK(B438:K438)&lt;&gt;COLUMNS(B438:K438),437,"")</f>
        <v>0</v>
      </c>
      <c r="C438" s="2">
        <f>IF(B438="", "", "missing: not provided")</f>
        <v>0</v>
      </c>
      <c r="D438" s="1">
        <f>IF(B438="", "", "weeks")</f>
        <v>0</v>
      </c>
      <c r="E438" s="1">
        <f>IF(B438="", "", "urban biome")</f>
        <v>0</v>
      </c>
      <c r="F438" s="1">
        <f>IF(B438="", "", "animal-associated habitat")</f>
        <v>0</v>
      </c>
      <c r="G438" s="1">
        <f>IF(B438="", "", "mouse")</f>
        <v>0</v>
      </c>
      <c r="H438" s="1">
        <f>IF(B438="", "", "Mus musculus")</f>
        <v>0</v>
      </c>
      <c r="I438" s="1">
        <f>IF(B438="", "", "10090")</f>
        <v>0</v>
      </c>
      <c r="J438" s="2">
        <f>IF(B438="", "", "missing: not provided")</f>
        <v>0</v>
      </c>
      <c r="K438" s="1">
        <f>IF(B438="", "", "g")</f>
        <v>0</v>
      </c>
    </row>
    <row r="439" spans="1:11">
      <c r="A439">
        <f>IF(COUNTBLANK(B439:K439)&lt;&gt;COLUMNS(B439:K439),438,"")</f>
        <v>0</v>
      </c>
      <c r="C439" s="2">
        <f>IF(B439="", "", "missing: not provided")</f>
        <v>0</v>
      </c>
      <c r="D439" s="1">
        <f>IF(B439="", "", "weeks")</f>
        <v>0</v>
      </c>
      <c r="E439" s="1">
        <f>IF(B439="", "", "urban biome")</f>
        <v>0</v>
      </c>
      <c r="F439" s="1">
        <f>IF(B439="", "", "animal-associated habitat")</f>
        <v>0</v>
      </c>
      <c r="G439" s="1">
        <f>IF(B439="", "", "mouse")</f>
        <v>0</v>
      </c>
      <c r="H439" s="1">
        <f>IF(B439="", "", "Mus musculus")</f>
        <v>0</v>
      </c>
      <c r="I439" s="1">
        <f>IF(B439="", "", "10090")</f>
        <v>0</v>
      </c>
      <c r="J439" s="2">
        <f>IF(B439="", "", "missing: not provided")</f>
        <v>0</v>
      </c>
      <c r="K439" s="1">
        <f>IF(B439="", "", "g")</f>
        <v>0</v>
      </c>
    </row>
    <row r="440" spans="1:11">
      <c r="A440">
        <f>IF(COUNTBLANK(B440:K440)&lt;&gt;COLUMNS(B440:K440),439,"")</f>
        <v>0</v>
      </c>
      <c r="C440" s="2">
        <f>IF(B440="", "", "missing: not provided")</f>
        <v>0</v>
      </c>
      <c r="D440" s="1">
        <f>IF(B440="", "", "weeks")</f>
        <v>0</v>
      </c>
      <c r="E440" s="1">
        <f>IF(B440="", "", "urban biome")</f>
        <v>0</v>
      </c>
      <c r="F440" s="1">
        <f>IF(B440="", "", "animal-associated habitat")</f>
        <v>0</v>
      </c>
      <c r="G440" s="1">
        <f>IF(B440="", "", "mouse")</f>
        <v>0</v>
      </c>
      <c r="H440" s="1">
        <f>IF(B440="", "", "Mus musculus")</f>
        <v>0</v>
      </c>
      <c r="I440" s="1">
        <f>IF(B440="", "", "10090")</f>
        <v>0</v>
      </c>
      <c r="J440" s="2">
        <f>IF(B440="", "", "missing: not provided")</f>
        <v>0</v>
      </c>
      <c r="K440" s="1">
        <f>IF(B440="", "", "g")</f>
        <v>0</v>
      </c>
    </row>
    <row r="441" spans="1:11">
      <c r="A441">
        <f>IF(COUNTBLANK(B441:K441)&lt;&gt;COLUMNS(B441:K441),440,"")</f>
        <v>0</v>
      </c>
      <c r="C441" s="2">
        <f>IF(B441="", "", "missing: not provided")</f>
        <v>0</v>
      </c>
      <c r="D441" s="1">
        <f>IF(B441="", "", "weeks")</f>
        <v>0</v>
      </c>
      <c r="E441" s="1">
        <f>IF(B441="", "", "urban biome")</f>
        <v>0</v>
      </c>
      <c r="F441" s="1">
        <f>IF(B441="", "", "animal-associated habitat")</f>
        <v>0</v>
      </c>
      <c r="G441" s="1">
        <f>IF(B441="", "", "mouse")</f>
        <v>0</v>
      </c>
      <c r="H441" s="1">
        <f>IF(B441="", "", "Mus musculus")</f>
        <v>0</v>
      </c>
      <c r="I441" s="1">
        <f>IF(B441="", "", "10090")</f>
        <v>0</v>
      </c>
      <c r="J441" s="2">
        <f>IF(B441="", "", "missing: not provided")</f>
        <v>0</v>
      </c>
      <c r="K441" s="1">
        <f>IF(B441="", "", "g")</f>
        <v>0</v>
      </c>
    </row>
    <row r="442" spans="1:11">
      <c r="A442">
        <f>IF(COUNTBLANK(B442:K442)&lt;&gt;COLUMNS(B442:K442),441,"")</f>
        <v>0</v>
      </c>
      <c r="C442" s="2">
        <f>IF(B442="", "", "missing: not provided")</f>
        <v>0</v>
      </c>
      <c r="D442" s="1">
        <f>IF(B442="", "", "weeks")</f>
        <v>0</v>
      </c>
      <c r="E442" s="1">
        <f>IF(B442="", "", "urban biome")</f>
        <v>0</v>
      </c>
      <c r="F442" s="1">
        <f>IF(B442="", "", "animal-associated habitat")</f>
        <v>0</v>
      </c>
      <c r="G442" s="1">
        <f>IF(B442="", "", "mouse")</f>
        <v>0</v>
      </c>
      <c r="H442" s="1">
        <f>IF(B442="", "", "Mus musculus")</f>
        <v>0</v>
      </c>
      <c r="I442" s="1">
        <f>IF(B442="", "", "10090")</f>
        <v>0</v>
      </c>
      <c r="J442" s="2">
        <f>IF(B442="", "", "missing: not provided")</f>
        <v>0</v>
      </c>
      <c r="K442" s="1">
        <f>IF(B442="", "", "g")</f>
        <v>0</v>
      </c>
    </row>
    <row r="443" spans="1:11">
      <c r="A443">
        <f>IF(COUNTBLANK(B443:K443)&lt;&gt;COLUMNS(B443:K443),442,"")</f>
        <v>0</v>
      </c>
      <c r="C443" s="2">
        <f>IF(B443="", "", "missing: not provided")</f>
        <v>0</v>
      </c>
      <c r="D443" s="1">
        <f>IF(B443="", "", "weeks")</f>
        <v>0</v>
      </c>
      <c r="E443" s="1">
        <f>IF(B443="", "", "urban biome")</f>
        <v>0</v>
      </c>
      <c r="F443" s="1">
        <f>IF(B443="", "", "animal-associated habitat")</f>
        <v>0</v>
      </c>
      <c r="G443" s="1">
        <f>IF(B443="", "", "mouse")</f>
        <v>0</v>
      </c>
      <c r="H443" s="1">
        <f>IF(B443="", "", "Mus musculus")</f>
        <v>0</v>
      </c>
      <c r="I443" s="1">
        <f>IF(B443="", "", "10090")</f>
        <v>0</v>
      </c>
      <c r="J443" s="2">
        <f>IF(B443="", "", "missing: not provided")</f>
        <v>0</v>
      </c>
      <c r="K443" s="1">
        <f>IF(B443="", "", "g")</f>
        <v>0</v>
      </c>
    </row>
    <row r="444" spans="1:11">
      <c r="A444">
        <f>IF(COUNTBLANK(B444:K444)&lt;&gt;COLUMNS(B444:K444),443,"")</f>
        <v>0</v>
      </c>
      <c r="C444" s="2">
        <f>IF(B444="", "", "missing: not provided")</f>
        <v>0</v>
      </c>
      <c r="D444" s="1">
        <f>IF(B444="", "", "weeks")</f>
        <v>0</v>
      </c>
      <c r="E444" s="1">
        <f>IF(B444="", "", "urban biome")</f>
        <v>0</v>
      </c>
      <c r="F444" s="1">
        <f>IF(B444="", "", "animal-associated habitat")</f>
        <v>0</v>
      </c>
      <c r="G444" s="1">
        <f>IF(B444="", "", "mouse")</f>
        <v>0</v>
      </c>
      <c r="H444" s="1">
        <f>IF(B444="", "", "Mus musculus")</f>
        <v>0</v>
      </c>
      <c r="I444" s="1">
        <f>IF(B444="", "", "10090")</f>
        <v>0</v>
      </c>
      <c r="J444" s="2">
        <f>IF(B444="", "", "missing: not provided")</f>
        <v>0</v>
      </c>
      <c r="K444" s="1">
        <f>IF(B444="", "", "g")</f>
        <v>0</v>
      </c>
    </row>
    <row r="445" spans="1:11">
      <c r="A445">
        <f>IF(COUNTBLANK(B445:K445)&lt;&gt;COLUMNS(B445:K445),444,"")</f>
        <v>0</v>
      </c>
      <c r="C445" s="2">
        <f>IF(B445="", "", "missing: not provided")</f>
        <v>0</v>
      </c>
      <c r="D445" s="1">
        <f>IF(B445="", "", "weeks")</f>
        <v>0</v>
      </c>
      <c r="E445" s="1">
        <f>IF(B445="", "", "urban biome")</f>
        <v>0</v>
      </c>
      <c r="F445" s="1">
        <f>IF(B445="", "", "animal-associated habitat")</f>
        <v>0</v>
      </c>
      <c r="G445" s="1">
        <f>IF(B445="", "", "mouse")</f>
        <v>0</v>
      </c>
      <c r="H445" s="1">
        <f>IF(B445="", "", "Mus musculus")</f>
        <v>0</v>
      </c>
      <c r="I445" s="1">
        <f>IF(B445="", "", "10090")</f>
        <v>0</v>
      </c>
      <c r="J445" s="2">
        <f>IF(B445="", "", "missing: not provided")</f>
        <v>0</v>
      </c>
      <c r="K445" s="1">
        <f>IF(B445="", "", "g")</f>
        <v>0</v>
      </c>
    </row>
    <row r="446" spans="1:11">
      <c r="A446">
        <f>IF(COUNTBLANK(B446:K446)&lt;&gt;COLUMNS(B446:K446),445,"")</f>
        <v>0</v>
      </c>
      <c r="C446" s="2">
        <f>IF(B446="", "", "missing: not provided")</f>
        <v>0</v>
      </c>
      <c r="D446" s="1">
        <f>IF(B446="", "", "weeks")</f>
        <v>0</v>
      </c>
      <c r="E446" s="1">
        <f>IF(B446="", "", "urban biome")</f>
        <v>0</v>
      </c>
      <c r="F446" s="1">
        <f>IF(B446="", "", "animal-associated habitat")</f>
        <v>0</v>
      </c>
      <c r="G446" s="1">
        <f>IF(B446="", "", "mouse")</f>
        <v>0</v>
      </c>
      <c r="H446" s="1">
        <f>IF(B446="", "", "Mus musculus")</f>
        <v>0</v>
      </c>
      <c r="I446" s="1">
        <f>IF(B446="", "", "10090")</f>
        <v>0</v>
      </c>
      <c r="J446" s="2">
        <f>IF(B446="", "", "missing: not provided")</f>
        <v>0</v>
      </c>
      <c r="K446" s="1">
        <f>IF(B446="", "", "g")</f>
        <v>0</v>
      </c>
    </row>
    <row r="447" spans="1:11">
      <c r="A447">
        <f>IF(COUNTBLANK(B447:K447)&lt;&gt;COLUMNS(B447:K447),446,"")</f>
        <v>0</v>
      </c>
      <c r="C447" s="2">
        <f>IF(B447="", "", "missing: not provided")</f>
        <v>0</v>
      </c>
      <c r="D447" s="1">
        <f>IF(B447="", "", "weeks")</f>
        <v>0</v>
      </c>
      <c r="E447" s="1">
        <f>IF(B447="", "", "urban biome")</f>
        <v>0</v>
      </c>
      <c r="F447" s="1">
        <f>IF(B447="", "", "animal-associated habitat")</f>
        <v>0</v>
      </c>
      <c r="G447" s="1">
        <f>IF(B447="", "", "mouse")</f>
        <v>0</v>
      </c>
      <c r="H447" s="1">
        <f>IF(B447="", "", "Mus musculus")</f>
        <v>0</v>
      </c>
      <c r="I447" s="1">
        <f>IF(B447="", "", "10090")</f>
        <v>0</v>
      </c>
      <c r="J447" s="2">
        <f>IF(B447="", "", "missing: not provided")</f>
        <v>0</v>
      </c>
      <c r="K447" s="1">
        <f>IF(B447="", "", "g")</f>
        <v>0</v>
      </c>
    </row>
    <row r="448" spans="1:11">
      <c r="A448">
        <f>IF(COUNTBLANK(B448:K448)&lt;&gt;COLUMNS(B448:K448),447,"")</f>
        <v>0</v>
      </c>
      <c r="C448" s="2">
        <f>IF(B448="", "", "missing: not provided")</f>
        <v>0</v>
      </c>
      <c r="D448" s="1">
        <f>IF(B448="", "", "weeks")</f>
        <v>0</v>
      </c>
      <c r="E448" s="1">
        <f>IF(B448="", "", "urban biome")</f>
        <v>0</v>
      </c>
      <c r="F448" s="1">
        <f>IF(B448="", "", "animal-associated habitat")</f>
        <v>0</v>
      </c>
      <c r="G448" s="1">
        <f>IF(B448="", "", "mouse")</f>
        <v>0</v>
      </c>
      <c r="H448" s="1">
        <f>IF(B448="", "", "Mus musculus")</f>
        <v>0</v>
      </c>
      <c r="I448" s="1">
        <f>IF(B448="", "", "10090")</f>
        <v>0</v>
      </c>
      <c r="J448" s="2">
        <f>IF(B448="", "", "missing: not provided")</f>
        <v>0</v>
      </c>
      <c r="K448" s="1">
        <f>IF(B448="", "", "g")</f>
        <v>0</v>
      </c>
    </row>
    <row r="449" spans="1:11">
      <c r="A449">
        <f>IF(COUNTBLANK(B449:K449)&lt;&gt;COLUMNS(B449:K449),448,"")</f>
        <v>0</v>
      </c>
      <c r="C449" s="2">
        <f>IF(B449="", "", "missing: not provided")</f>
        <v>0</v>
      </c>
      <c r="D449" s="1">
        <f>IF(B449="", "", "weeks")</f>
        <v>0</v>
      </c>
      <c r="E449" s="1">
        <f>IF(B449="", "", "urban biome")</f>
        <v>0</v>
      </c>
      <c r="F449" s="1">
        <f>IF(B449="", "", "animal-associated habitat")</f>
        <v>0</v>
      </c>
      <c r="G449" s="1">
        <f>IF(B449="", "", "mouse")</f>
        <v>0</v>
      </c>
      <c r="H449" s="1">
        <f>IF(B449="", "", "Mus musculus")</f>
        <v>0</v>
      </c>
      <c r="I449" s="1">
        <f>IF(B449="", "", "10090")</f>
        <v>0</v>
      </c>
      <c r="J449" s="2">
        <f>IF(B449="", "", "missing: not provided")</f>
        <v>0</v>
      </c>
      <c r="K449" s="1">
        <f>IF(B449="", "", "g")</f>
        <v>0</v>
      </c>
    </row>
    <row r="450" spans="1:11">
      <c r="A450">
        <f>IF(COUNTBLANK(B450:K450)&lt;&gt;COLUMNS(B450:K450),449,"")</f>
        <v>0</v>
      </c>
      <c r="C450" s="2">
        <f>IF(B450="", "", "missing: not provided")</f>
        <v>0</v>
      </c>
      <c r="D450" s="1">
        <f>IF(B450="", "", "weeks")</f>
        <v>0</v>
      </c>
      <c r="E450" s="1">
        <f>IF(B450="", "", "urban biome")</f>
        <v>0</v>
      </c>
      <c r="F450" s="1">
        <f>IF(B450="", "", "animal-associated habitat")</f>
        <v>0</v>
      </c>
      <c r="G450" s="1">
        <f>IF(B450="", "", "mouse")</f>
        <v>0</v>
      </c>
      <c r="H450" s="1">
        <f>IF(B450="", "", "Mus musculus")</f>
        <v>0</v>
      </c>
      <c r="I450" s="1">
        <f>IF(B450="", "", "10090")</f>
        <v>0</v>
      </c>
      <c r="J450" s="2">
        <f>IF(B450="", "", "missing: not provided")</f>
        <v>0</v>
      </c>
      <c r="K450" s="1">
        <f>IF(B450="", "", "g")</f>
        <v>0</v>
      </c>
    </row>
    <row r="451" spans="1:11">
      <c r="A451">
        <f>IF(COUNTBLANK(B451:K451)&lt;&gt;COLUMNS(B451:K451),450,"")</f>
        <v>0</v>
      </c>
      <c r="C451" s="2">
        <f>IF(B451="", "", "missing: not provided")</f>
        <v>0</v>
      </c>
      <c r="D451" s="1">
        <f>IF(B451="", "", "weeks")</f>
        <v>0</v>
      </c>
      <c r="E451" s="1">
        <f>IF(B451="", "", "urban biome")</f>
        <v>0</v>
      </c>
      <c r="F451" s="1">
        <f>IF(B451="", "", "animal-associated habitat")</f>
        <v>0</v>
      </c>
      <c r="G451" s="1">
        <f>IF(B451="", "", "mouse")</f>
        <v>0</v>
      </c>
      <c r="H451" s="1">
        <f>IF(B451="", "", "Mus musculus")</f>
        <v>0</v>
      </c>
      <c r="I451" s="1">
        <f>IF(B451="", "", "10090")</f>
        <v>0</v>
      </c>
      <c r="J451" s="2">
        <f>IF(B451="", "", "missing: not provided")</f>
        <v>0</v>
      </c>
      <c r="K451" s="1">
        <f>IF(B451="", "", "g")</f>
        <v>0</v>
      </c>
    </row>
    <row r="452" spans="1:11">
      <c r="A452">
        <f>IF(COUNTBLANK(B452:K452)&lt;&gt;COLUMNS(B452:K452),451,"")</f>
        <v>0</v>
      </c>
      <c r="C452" s="2">
        <f>IF(B452="", "", "missing: not provided")</f>
        <v>0</v>
      </c>
      <c r="D452" s="1">
        <f>IF(B452="", "", "weeks")</f>
        <v>0</v>
      </c>
      <c r="E452" s="1">
        <f>IF(B452="", "", "urban biome")</f>
        <v>0</v>
      </c>
      <c r="F452" s="1">
        <f>IF(B452="", "", "animal-associated habitat")</f>
        <v>0</v>
      </c>
      <c r="G452" s="1">
        <f>IF(B452="", "", "mouse")</f>
        <v>0</v>
      </c>
      <c r="H452" s="1">
        <f>IF(B452="", "", "Mus musculus")</f>
        <v>0</v>
      </c>
      <c r="I452" s="1">
        <f>IF(B452="", "", "10090")</f>
        <v>0</v>
      </c>
      <c r="J452" s="2">
        <f>IF(B452="", "", "missing: not provided")</f>
        <v>0</v>
      </c>
      <c r="K452" s="1">
        <f>IF(B452="", "", "g")</f>
        <v>0</v>
      </c>
    </row>
    <row r="453" spans="1:11">
      <c r="A453">
        <f>IF(COUNTBLANK(B453:K453)&lt;&gt;COLUMNS(B453:K453),452,"")</f>
        <v>0</v>
      </c>
      <c r="C453" s="2">
        <f>IF(B453="", "", "missing: not provided")</f>
        <v>0</v>
      </c>
      <c r="D453" s="1">
        <f>IF(B453="", "", "weeks")</f>
        <v>0</v>
      </c>
      <c r="E453" s="1">
        <f>IF(B453="", "", "urban biome")</f>
        <v>0</v>
      </c>
      <c r="F453" s="1">
        <f>IF(B453="", "", "animal-associated habitat")</f>
        <v>0</v>
      </c>
      <c r="G453" s="1">
        <f>IF(B453="", "", "mouse")</f>
        <v>0</v>
      </c>
      <c r="H453" s="1">
        <f>IF(B453="", "", "Mus musculus")</f>
        <v>0</v>
      </c>
      <c r="I453" s="1">
        <f>IF(B453="", "", "10090")</f>
        <v>0</v>
      </c>
      <c r="J453" s="2">
        <f>IF(B453="", "", "missing: not provided")</f>
        <v>0</v>
      </c>
      <c r="K453" s="1">
        <f>IF(B453="", "", "g")</f>
        <v>0</v>
      </c>
    </row>
    <row r="454" spans="1:11">
      <c r="A454">
        <f>IF(COUNTBLANK(B454:K454)&lt;&gt;COLUMNS(B454:K454),453,"")</f>
        <v>0</v>
      </c>
      <c r="C454" s="2">
        <f>IF(B454="", "", "missing: not provided")</f>
        <v>0</v>
      </c>
      <c r="D454" s="1">
        <f>IF(B454="", "", "weeks")</f>
        <v>0</v>
      </c>
      <c r="E454" s="1">
        <f>IF(B454="", "", "urban biome")</f>
        <v>0</v>
      </c>
      <c r="F454" s="1">
        <f>IF(B454="", "", "animal-associated habitat")</f>
        <v>0</v>
      </c>
      <c r="G454" s="1">
        <f>IF(B454="", "", "mouse")</f>
        <v>0</v>
      </c>
      <c r="H454" s="1">
        <f>IF(B454="", "", "Mus musculus")</f>
        <v>0</v>
      </c>
      <c r="I454" s="1">
        <f>IF(B454="", "", "10090")</f>
        <v>0</v>
      </c>
      <c r="J454" s="2">
        <f>IF(B454="", "", "missing: not provided")</f>
        <v>0</v>
      </c>
      <c r="K454" s="1">
        <f>IF(B454="", "", "g")</f>
        <v>0</v>
      </c>
    </row>
    <row r="455" spans="1:11">
      <c r="A455">
        <f>IF(COUNTBLANK(B455:K455)&lt;&gt;COLUMNS(B455:K455),454,"")</f>
        <v>0</v>
      </c>
      <c r="C455" s="2">
        <f>IF(B455="", "", "missing: not provided")</f>
        <v>0</v>
      </c>
      <c r="D455" s="1">
        <f>IF(B455="", "", "weeks")</f>
        <v>0</v>
      </c>
      <c r="E455" s="1">
        <f>IF(B455="", "", "urban biome")</f>
        <v>0</v>
      </c>
      <c r="F455" s="1">
        <f>IF(B455="", "", "animal-associated habitat")</f>
        <v>0</v>
      </c>
      <c r="G455" s="1">
        <f>IF(B455="", "", "mouse")</f>
        <v>0</v>
      </c>
      <c r="H455" s="1">
        <f>IF(B455="", "", "Mus musculus")</f>
        <v>0</v>
      </c>
      <c r="I455" s="1">
        <f>IF(B455="", "", "10090")</f>
        <v>0</v>
      </c>
      <c r="J455" s="2">
        <f>IF(B455="", "", "missing: not provided")</f>
        <v>0</v>
      </c>
      <c r="K455" s="1">
        <f>IF(B455="", "", "g")</f>
        <v>0</v>
      </c>
    </row>
    <row r="456" spans="1:11">
      <c r="A456">
        <f>IF(COUNTBLANK(B456:K456)&lt;&gt;COLUMNS(B456:K456),455,"")</f>
        <v>0</v>
      </c>
      <c r="C456" s="2">
        <f>IF(B456="", "", "missing: not provided")</f>
        <v>0</v>
      </c>
      <c r="D456" s="1">
        <f>IF(B456="", "", "weeks")</f>
        <v>0</v>
      </c>
      <c r="E456" s="1">
        <f>IF(B456="", "", "urban biome")</f>
        <v>0</v>
      </c>
      <c r="F456" s="1">
        <f>IF(B456="", "", "animal-associated habitat")</f>
        <v>0</v>
      </c>
      <c r="G456" s="1">
        <f>IF(B456="", "", "mouse")</f>
        <v>0</v>
      </c>
      <c r="H456" s="1">
        <f>IF(B456="", "", "Mus musculus")</f>
        <v>0</v>
      </c>
      <c r="I456" s="1">
        <f>IF(B456="", "", "10090")</f>
        <v>0</v>
      </c>
      <c r="J456" s="2">
        <f>IF(B456="", "", "missing: not provided")</f>
        <v>0</v>
      </c>
      <c r="K456" s="1">
        <f>IF(B456="", "", "g")</f>
        <v>0</v>
      </c>
    </row>
    <row r="457" spans="1:11">
      <c r="A457">
        <f>IF(COUNTBLANK(B457:K457)&lt;&gt;COLUMNS(B457:K457),456,"")</f>
        <v>0</v>
      </c>
      <c r="C457" s="2">
        <f>IF(B457="", "", "missing: not provided")</f>
        <v>0</v>
      </c>
      <c r="D457" s="1">
        <f>IF(B457="", "", "weeks")</f>
        <v>0</v>
      </c>
      <c r="E457" s="1">
        <f>IF(B457="", "", "urban biome")</f>
        <v>0</v>
      </c>
      <c r="F457" s="1">
        <f>IF(B457="", "", "animal-associated habitat")</f>
        <v>0</v>
      </c>
      <c r="G457" s="1">
        <f>IF(B457="", "", "mouse")</f>
        <v>0</v>
      </c>
      <c r="H457" s="1">
        <f>IF(B457="", "", "Mus musculus")</f>
        <v>0</v>
      </c>
      <c r="I457" s="1">
        <f>IF(B457="", "", "10090")</f>
        <v>0</v>
      </c>
      <c r="J457" s="2">
        <f>IF(B457="", "", "missing: not provided")</f>
        <v>0</v>
      </c>
      <c r="K457" s="1">
        <f>IF(B457="", "", "g")</f>
        <v>0</v>
      </c>
    </row>
    <row r="458" spans="1:11">
      <c r="A458">
        <f>IF(COUNTBLANK(B458:K458)&lt;&gt;COLUMNS(B458:K458),457,"")</f>
        <v>0</v>
      </c>
      <c r="C458" s="2">
        <f>IF(B458="", "", "missing: not provided")</f>
        <v>0</v>
      </c>
      <c r="D458" s="1">
        <f>IF(B458="", "", "weeks")</f>
        <v>0</v>
      </c>
      <c r="E458" s="1">
        <f>IF(B458="", "", "urban biome")</f>
        <v>0</v>
      </c>
      <c r="F458" s="1">
        <f>IF(B458="", "", "animal-associated habitat")</f>
        <v>0</v>
      </c>
      <c r="G458" s="1">
        <f>IF(B458="", "", "mouse")</f>
        <v>0</v>
      </c>
      <c r="H458" s="1">
        <f>IF(B458="", "", "Mus musculus")</f>
        <v>0</v>
      </c>
      <c r="I458" s="1">
        <f>IF(B458="", "", "10090")</f>
        <v>0</v>
      </c>
      <c r="J458" s="2">
        <f>IF(B458="", "", "missing: not provided")</f>
        <v>0</v>
      </c>
      <c r="K458" s="1">
        <f>IF(B458="", "", "g")</f>
        <v>0</v>
      </c>
    </row>
    <row r="459" spans="1:11">
      <c r="A459">
        <f>IF(COUNTBLANK(B459:K459)&lt;&gt;COLUMNS(B459:K459),458,"")</f>
        <v>0</v>
      </c>
      <c r="C459" s="2">
        <f>IF(B459="", "", "missing: not provided")</f>
        <v>0</v>
      </c>
      <c r="D459" s="1">
        <f>IF(B459="", "", "weeks")</f>
        <v>0</v>
      </c>
      <c r="E459" s="1">
        <f>IF(B459="", "", "urban biome")</f>
        <v>0</v>
      </c>
      <c r="F459" s="1">
        <f>IF(B459="", "", "animal-associated habitat")</f>
        <v>0</v>
      </c>
      <c r="G459" s="1">
        <f>IF(B459="", "", "mouse")</f>
        <v>0</v>
      </c>
      <c r="H459" s="1">
        <f>IF(B459="", "", "Mus musculus")</f>
        <v>0</v>
      </c>
      <c r="I459" s="1">
        <f>IF(B459="", "", "10090")</f>
        <v>0</v>
      </c>
      <c r="J459" s="2">
        <f>IF(B459="", "", "missing: not provided")</f>
        <v>0</v>
      </c>
      <c r="K459" s="1">
        <f>IF(B459="", "", "g")</f>
        <v>0</v>
      </c>
    </row>
    <row r="460" spans="1:11">
      <c r="A460">
        <f>IF(COUNTBLANK(B460:K460)&lt;&gt;COLUMNS(B460:K460),459,"")</f>
        <v>0</v>
      </c>
      <c r="C460" s="2">
        <f>IF(B460="", "", "missing: not provided")</f>
        <v>0</v>
      </c>
      <c r="D460" s="1">
        <f>IF(B460="", "", "weeks")</f>
        <v>0</v>
      </c>
      <c r="E460" s="1">
        <f>IF(B460="", "", "urban biome")</f>
        <v>0</v>
      </c>
      <c r="F460" s="1">
        <f>IF(B460="", "", "animal-associated habitat")</f>
        <v>0</v>
      </c>
      <c r="G460" s="1">
        <f>IF(B460="", "", "mouse")</f>
        <v>0</v>
      </c>
      <c r="H460" s="1">
        <f>IF(B460="", "", "Mus musculus")</f>
        <v>0</v>
      </c>
      <c r="I460" s="1">
        <f>IF(B460="", "", "10090")</f>
        <v>0</v>
      </c>
      <c r="J460" s="2">
        <f>IF(B460="", "", "missing: not provided")</f>
        <v>0</v>
      </c>
      <c r="K460" s="1">
        <f>IF(B460="", "", "g")</f>
        <v>0</v>
      </c>
    </row>
    <row r="461" spans="1:11">
      <c r="A461">
        <f>IF(COUNTBLANK(B461:K461)&lt;&gt;COLUMNS(B461:K461),460,"")</f>
        <v>0</v>
      </c>
      <c r="C461" s="2">
        <f>IF(B461="", "", "missing: not provided")</f>
        <v>0</v>
      </c>
      <c r="D461" s="1">
        <f>IF(B461="", "", "weeks")</f>
        <v>0</v>
      </c>
      <c r="E461" s="1">
        <f>IF(B461="", "", "urban biome")</f>
        <v>0</v>
      </c>
      <c r="F461" s="1">
        <f>IF(B461="", "", "animal-associated habitat")</f>
        <v>0</v>
      </c>
      <c r="G461" s="1">
        <f>IF(B461="", "", "mouse")</f>
        <v>0</v>
      </c>
      <c r="H461" s="1">
        <f>IF(B461="", "", "Mus musculus")</f>
        <v>0</v>
      </c>
      <c r="I461" s="1">
        <f>IF(B461="", "", "10090")</f>
        <v>0</v>
      </c>
      <c r="J461" s="2">
        <f>IF(B461="", "", "missing: not provided")</f>
        <v>0</v>
      </c>
      <c r="K461" s="1">
        <f>IF(B461="", "", "g")</f>
        <v>0</v>
      </c>
    </row>
    <row r="462" spans="1:11">
      <c r="A462">
        <f>IF(COUNTBLANK(B462:K462)&lt;&gt;COLUMNS(B462:K462),461,"")</f>
        <v>0</v>
      </c>
      <c r="C462" s="2">
        <f>IF(B462="", "", "missing: not provided")</f>
        <v>0</v>
      </c>
      <c r="D462" s="1">
        <f>IF(B462="", "", "weeks")</f>
        <v>0</v>
      </c>
      <c r="E462" s="1">
        <f>IF(B462="", "", "urban biome")</f>
        <v>0</v>
      </c>
      <c r="F462" s="1">
        <f>IF(B462="", "", "animal-associated habitat")</f>
        <v>0</v>
      </c>
      <c r="G462" s="1">
        <f>IF(B462="", "", "mouse")</f>
        <v>0</v>
      </c>
      <c r="H462" s="1">
        <f>IF(B462="", "", "Mus musculus")</f>
        <v>0</v>
      </c>
      <c r="I462" s="1">
        <f>IF(B462="", "", "10090")</f>
        <v>0</v>
      </c>
      <c r="J462" s="2">
        <f>IF(B462="", "", "missing: not provided")</f>
        <v>0</v>
      </c>
      <c r="K462" s="1">
        <f>IF(B462="", "", "g")</f>
        <v>0</v>
      </c>
    </row>
    <row r="463" spans="1:11">
      <c r="A463">
        <f>IF(COUNTBLANK(B463:K463)&lt;&gt;COLUMNS(B463:K463),462,"")</f>
        <v>0</v>
      </c>
      <c r="C463" s="2">
        <f>IF(B463="", "", "missing: not provided")</f>
        <v>0</v>
      </c>
      <c r="D463" s="1">
        <f>IF(B463="", "", "weeks")</f>
        <v>0</v>
      </c>
      <c r="E463" s="1">
        <f>IF(B463="", "", "urban biome")</f>
        <v>0</v>
      </c>
      <c r="F463" s="1">
        <f>IF(B463="", "", "animal-associated habitat")</f>
        <v>0</v>
      </c>
      <c r="G463" s="1">
        <f>IF(B463="", "", "mouse")</f>
        <v>0</v>
      </c>
      <c r="H463" s="1">
        <f>IF(B463="", "", "Mus musculus")</f>
        <v>0</v>
      </c>
      <c r="I463" s="1">
        <f>IF(B463="", "", "10090")</f>
        <v>0</v>
      </c>
      <c r="J463" s="2">
        <f>IF(B463="", "", "missing: not provided")</f>
        <v>0</v>
      </c>
      <c r="K463" s="1">
        <f>IF(B463="", "", "g")</f>
        <v>0</v>
      </c>
    </row>
    <row r="464" spans="1:11">
      <c r="A464">
        <f>IF(COUNTBLANK(B464:K464)&lt;&gt;COLUMNS(B464:K464),463,"")</f>
        <v>0</v>
      </c>
      <c r="C464" s="2">
        <f>IF(B464="", "", "missing: not provided")</f>
        <v>0</v>
      </c>
      <c r="D464" s="1">
        <f>IF(B464="", "", "weeks")</f>
        <v>0</v>
      </c>
      <c r="E464" s="1">
        <f>IF(B464="", "", "urban biome")</f>
        <v>0</v>
      </c>
      <c r="F464" s="1">
        <f>IF(B464="", "", "animal-associated habitat")</f>
        <v>0</v>
      </c>
      <c r="G464" s="1">
        <f>IF(B464="", "", "mouse")</f>
        <v>0</v>
      </c>
      <c r="H464" s="1">
        <f>IF(B464="", "", "Mus musculus")</f>
        <v>0</v>
      </c>
      <c r="I464" s="1">
        <f>IF(B464="", "", "10090")</f>
        <v>0</v>
      </c>
      <c r="J464" s="2">
        <f>IF(B464="", "", "missing: not provided")</f>
        <v>0</v>
      </c>
      <c r="K464" s="1">
        <f>IF(B464="", "", "g")</f>
        <v>0</v>
      </c>
    </row>
    <row r="465" spans="1:11">
      <c r="A465">
        <f>IF(COUNTBLANK(B465:K465)&lt;&gt;COLUMNS(B465:K465),464,"")</f>
        <v>0</v>
      </c>
      <c r="C465" s="2">
        <f>IF(B465="", "", "missing: not provided")</f>
        <v>0</v>
      </c>
      <c r="D465" s="1">
        <f>IF(B465="", "", "weeks")</f>
        <v>0</v>
      </c>
      <c r="E465" s="1">
        <f>IF(B465="", "", "urban biome")</f>
        <v>0</v>
      </c>
      <c r="F465" s="1">
        <f>IF(B465="", "", "animal-associated habitat")</f>
        <v>0</v>
      </c>
      <c r="G465" s="1">
        <f>IF(B465="", "", "mouse")</f>
        <v>0</v>
      </c>
      <c r="H465" s="1">
        <f>IF(B465="", "", "Mus musculus")</f>
        <v>0</v>
      </c>
      <c r="I465" s="1">
        <f>IF(B465="", "", "10090")</f>
        <v>0</v>
      </c>
      <c r="J465" s="2">
        <f>IF(B465="", "", "missing: not provided")</f>
        <v>0</v>
      </c>
      <c r="K465" s="1">
        <f>IF(B465="", "", "g")</f>
        <v>0</v>
      </c>
    </row>
    <row r="466" spans="1:11">
      <c r="A466">
        <f>IF(COUNTBLANK(B466:K466)&lt;&gt;COLUMNS(B466:K466),465,"")</f>
        <v>0</v>
      </c>
      <c r="C466" s="2">
        <f>IF(B466="", "", "missing: not provided")</f>
        <v>0</v>
      </c>
      <c r="D466" s="1">
        <f>IF(B466="", "", "weeks")</f>
        <v>0</v>
      </c>
      <c r="E466" s="1">
        <f>IF(B466="", "", "urban biome")</f>
        <v>0</v>
      </c>
      <c r="F466" s="1">
        <f>IF(B466="", "", "animal-associated habitat")</f>
        <v>0</v>
      </c>
      <c r="G466" s="1">
        <f>IF(B466="", "", "mouse")</f>
        <v>0</v>
      </c>
      <c r="H466" s="1">
        <f>IF(B466="", "", "Mus musculus")</f>
        <v>0</v>
      </c>
      <c r="I466" s="1">
        <f>IF(B466="", "", "10090")</f>
        <v>0</v>
      </c>
      <c r="J466" s="2">
        <f>IF(B466="", "", "missing: not provided")</f>
        <v>0</v>
      </c>
      <c r="K466" s="1">
        <f>IF(B466="", "", "g")</f>
        <v>0</v>
      </c>
    </row>
    <row r="467" spans="1:11">
      <c r="A467">
        <f>IF(COUNTBLANK(B467:K467)&lt;&gt;COLUMNS(B467:K467),466,"")</f>
        <v>0</v>
      </c>
      <c r="C467" s="2">
        <f>IF(B467="", "", "missing: not provided")</f>
        <v>0</v>
      </c>
      <c r="D467" s="1">
        <f>IF(B467="", "", "weeks")</f>
        <v>0</v>
      </c>
      <c r="E467" s="1">
        <f>IF(B467="", "", "urban biome")</f>
        <v>0</v>
      </c>
      <c r="F467" s="1">
        <f>IF(B467="", "", "animal-associated habitat")</f>
        <v>0</v>
      </c>
      <c r="G467" s="1">
        <f>IF(B467="", "", "mouse")</f>
        <v>0</v>
      </c>
      <c r="H467" s="1">
        <f>IF(B467="", "", "Mus musculus")</f>
        <v>0</v>
      </c>
      <c r="I467" s="1">
        <f>IF(B467="", "", "10090")</f>
        <v>0</v>
      </c>
      <c r="J467" s="2">
        <f>IF(B467="", "", "missing: not provided")</f>
        <v>0</v>
      </c>
      <c r="K467" s="1">
        <f>IF(B467="", "", "g")</f>
        <v>0</v>
      </c>
    </row>
    <row r="468" spans="1:11">
      <c r="A468">
        <f>IF(COUNTBLANK(B468:K468)&lt;&gt;COLUMNS(B468:K468),467,"")</f>
        <v>0</v>
      </c>
      <c r="C468" s="2">
        <f>IF(B468="", "", "missing: not provided")</f>
        <v>0</v>
      </c>
      <c r="D468" s="1">
        <f>IF(B468="", "", "weeks")</f>
        <v>0</v>
      </c>
      <c r="E468" s="1">
        <f>IF(B468="", "", "urban biome")</f>
        <v>0</v>
      </c>
      <c r="F468" s="1">
        <f>IF(B468="", "", "animal-associated habitat")</f>
        <v>0</v>
      </c>
      <c r="G468" s="1">
        <f>IF(B468="", "", "mouse")</f>
        <v>0</v>
      </c>
      <c r="H468" s="1">
        <f>IF(B468="", "", "Mus musculus")</f>
        <v>0</v>
      </c>
      <c r="I468" s="1">
        <f>IF(B468="", "", "10090")</f>
        <v>0</v>
      </c>
      <c r="J468" s="2">
        <f>IF(B468="", "", "missing: not provided")</f>
        <v>0</v>
      </c>
      <c r="K468" s="1">
        <f>IF(B468="", "", "g")</f>
        <v>0</v>
      </c>
    </row>
    <row r="469" spans="1:11">
      <c r="A469">
        <f>IF(COUNTBLANK(B469:K469)&lt;&gt;COLUMNS(B469:K469),468,"")</f>
        <v>0</v>
      </c>
      <c r="C469" s="2">
        <f>IF(B469="", "", "missing: not provided")</f>
        <v>0</v>
      </c>
      <c r="D469" s="1">
        <f>IF(B469="", "", "weeks")</f>
        <v>0</v>
      </c>
      <c r="E469" s="1">
        <f>IF(B469="", "", "urban biome")</f>
        <v>0</v>
      </c>
      <c r="F469" s="1">
        <f>IF(B469="", "", "animal-associated habitat")</f>
        <v>0</v>
      </c>
      <c r="G469" s="1">
        <f>IF(B469="", "", "mouse")</f>
        <v>0</v>
      </c>
      <c r="H469" s="1">
        <f>IF(B469="", "", "Mus musculus")</f>
        <v>0</v>
      </c>
      <c r="I469" s="1">
        <f>IF(B469="", "", "10090")</f>
        <v>0</v>
      </c>
      <c r="J469" s="2">
        <f>IF(B469="", "", "missing: not provided")</f>
        <v>0</v>
      </c>
      <c r="K469" s="1">
        <f>IF(B469="", "", "g")</f>
        <v>0</v>
      </c>
    </row>
    <row r="470" spans="1:11">
      <c r="A470">
        <f>IF(COUNTBLANK(B470:K470)&lt;&gt;COLUMNS(B470:K470),469,"")</f>
        <v>0</v>
      </c>
      <c r="C470" s="2">
        <f>IF(B470="", "", "missing: not provided")</f>
        <v>0</v>
      </c>
      <c r="D470" s="1">
        <f>IF(B470="", "", "weeks")</f>
        <v>0</v>
      </c>
      <c r="E470" s="1">
        <f>IF(B470="", "", "urban biome")</f>
        <v>0</v>
      </c>
      <c r="F470" s="1">
        <f>IF(B470="", "", "animal-associated habitat")</f>
        <v>0</v>
      </c>
      <c r="G470" s="1">
        <f>IF(B470="", "", "mouse")</f>
        <v>0</v>
      </c>
      <c r="H470" s="1">
        <f>IF(B470="", "", "Mus musculus")</f>
        <v>0</v>
      </c>
      <c r="I470" s="1">
        <f>IF(B470="", "", "10090")</f>
        <v>0</v>
      </c>
      <c r="J470" s="2">
        <f>IF(B470="", "", "missing: not provided")</f>
        <v>0</v>
      </c>
      <c r="K470" s="1">
        <f>IF(B470="", "", "g")</f>
        <v>0</v>
      </c>
    </row>
    <row r="471" spans="1:11">
      <c r="A471">
        <f>IF(COUNTBLANK(B471:K471)&lt;&gt;COLUMNS(B471:K471),470,"")</f>
        <v>0</v>
      </c>
      <c r="C471" s="2">
        <f>IF(B471="", "", "missing: not provided")</f>
        <v>0</v>
      </c>
      <c r="D471" s="1">
        <f>IF(B471="", "", "weeks")</f>
        <v>0</v>
      </c>
      <c r="E471" s="1">
        <f>IF(B471="", "", "urban biome")</f>
        <v>0</v>
      </c>
      <c r="F471" s="1">
        <f>IF(B471="", "", "animal-associated habitat")</f>
        <v>0</v>
      </c>
      <c r="G471" s="1">
        <f>IF(B471="", "", "mouse")</f>
        <v>0</v>
      </c>
      <c r="H471" s="1">
        <f>IF(B471="", "", "Mus musculus")</f>
        <v>0</v>
      </c>
      <c r="I471" s="1">
        <f>IF(B471="", "", "10090")</f>
        <v>0</v>
      </c>
      <c r="J471" s="2">
        <f>IF(B471="", "", "missing: not provided")</f>
        <v>0</v>
      </c>
      <c r="K471" s="1">
        <f>IF(B471="", "", "g")</f>
        <v>0</v>
      </c>
    </row>
    <row r="472" spans="1:11">
      <c r="A472">
        <f>IF(COUNTBLANK(B472:K472)&lt;&gt;COLUMNS(B472:K472),471,"")</f>
        <v>0</v>
      </c>
      <c r="C472" s="2">
        <f>IF(B472="", "", "missing: not provided")</f>
        <v>0</v>
      </c>
      <c r="D472" s="1">
        <f>IF(B472="", "", "weeks")</f>
        <v>0</v>
      </c>
      <c r="E472" s="1">
        <f>IF(B472="", "", "urban biome")</f>
        <v>0</v>
      </c>
      <c r="F472" s="1">
        <f>IF(B472="", "", "animal-associated habitat")</f>
        <v>0</v>
      </c>
      <c r="G472" s="1">
        <f>IF(B472="", "", "mouse")</f>
        <v>0</v>
      </c>
      <c r="H472" s="1">
        <f>IF(B472="", "", "Mus musculus")</f>
        <v>0</v>
      </c>
      <c r="I472" s="1">
        <f>IF(B472="", "", "10090")</f>
        <v>0</v>
      </c>
      <c r="J472" s="2">
        <f>IF(B472="", "", "missing: not provided")</f>
        <v>0</v>
      </c>
      <c r="K472" s="1">
        <f>IF(B472="", "", "g")</f>
        <v>0</v>
      </c>
    </row>
    <row r="473" spans="1:11">
      <c r="A473">
        <f>IF(COUNTBLANK(B473:K473)&lt;&gt;COLUMNS(B473:K473),472,"")</f>
        <v>0</v>
      </c>
      <c r="C473" s="2">
        <f>IF(B473="", "", "missing: not provided")</f>
        <v>0</v>
      </c>
      <c r="D473" s="1">
        <f>IF(B473="", "", "weeks")</f>
        <v>0</v>
      </c>
      <c r="E473" s="1">
        <f>IF(B473="", "", "urban biome")</f>
        <v>0</v>
      </c>
      <c r="F473" s="1">
        <f>IF(B473="", "", "animal-associated habitat")</f>
        <v>0</v>
      </c>
      <c r="G473" s="1">
        <f>IF(B473="", "", "mouse")</f>
        <v>0</v>
      </c>
      <c r="H473" s="1">
        <f>IF(B473="", "", "Mus musculus")</f>
        <v>0</v>
      </c>
      <c r="I473" s="1">
        <f>IF(B473="", "", "10090")</f>
        <v>0</v>
      </c>
      <c r="J473" s="2">
        <f>IF(B473="", "", "missing: not provided")</f>
        <v>0</v>
      </c>
      <c r="K473" s="1">
        <f>IF(B473="", "", "g")</f>
        <v>0</v>
      </c>
    </row>
    <row r="474" spans="1:11">
      <c r="A474">
        <f>IF(COUNTBLANK(B474:K474)&lt;&gt;COLUMNS(B474:K474),473,"")</f>
        <v>0</v>
      </c>
      <c r="C474" s="2">
        <f>IF(B474="", "", "missing: not provided")</f>
        <v>0</v>
      </c>
      <c r="D474" s="1">
        <f>IF(B474="", "", "weeks")</f>
        <v>0</v>
      </c>
      <c r="E474" s="1">
        <f>IF(B474="", "", "urban biome")</f>
        <v>0</v>
      </c>
      <c r="F474" s="1">
        <f>IF(B474="", "", "animal-associated habitat")</f>
        <v>0</v>
      </c>
      <c r="G474" s="1">
        <f>IF(B474="", "", "mouse")</f>
        <v>0</v>
      </c>
      <c r="H474" s="1">
        <f>IF(B474="", "", "Mus musculus")</f>
        <v>0</v>
      </c>
      <c r="I474" s="1">
        <f>IF(B474="", "", "10090")</f>
        <v>0</v>
      </c>
      <c r="J474" s="2">
        <f>IF(B474="", "", "missing: not provided")</f>
        <v>0</v>
      </c>
      <c r="K474" s="1">
        <f>IF(B474="", "", "g")</f>
        <v>0</v>
      </c>
    </row>
    <row r="475" spans="1:11">
      <c r="A475">
        <f>IF(COUNTBLANK(B475:K475)&lt;&gt;COLUMNS(B475:K475),474,"")</f>
        <v>0</v>
      </c>
      <c r="C475" s="2">
        <f>IF(B475="", "", "missing: not provided")</f>
        <v>0</v>
      </c>
      <c r="D475" s="1">
        <f>IF(B475="", "", "weeks")</f>
        <v>0</v>
      </c>
      <c r="E475" s="1">
        <f>IF(B475="", "", "urban biome")</f>
        <v>0</v>
      </c>
      <c r="F475" s="1">
        <f>IF(B475="", "", "animal-associated habitat")</f>
        <v>0</v>
      </c>
      <c r="G475" s="1">
        <f>IF(B475="", "", "mouse")</f>
        <v>0</v>
      </c>
      <c r="H475" s="1">
        <f>IF(B475="", "", "Mus musculus")</f>
        <v>0</v>
      </c>
      <c r="I475" s="1">
        <f>IF(B475="", "", "10090")</f>
        <v>0</v>
      </c>
      <c r="J475" s="2">
        <f>IF(B475="", "", "missing: not provided")</f>
        <v>0</v>
      </c>
      <c r="K475" s="1">
        <f>IF(B475="", "", "g")</f>
        <v>0</v>
      </c>
    </row>
    <row r="476" spans="1:11">
      <c r="A476">
        <f>IF(COUNTBLANK(B476:K476)&lt;&gt;COLUMNS(B476:K476),475,"")</f>
        <v>0</v>
      </c>
      <c r="C476" s="2">
        <f>IF(B476="", "", "missing: not provided")</f>
        <v>0</v>
      </c>
      <c r="D476" s="1">
        <f>IF(B476="", "", "weeks")</f>
        <v>0</v>
      </c>
      <c r="E476" s="1">
        <f>IF(B476="", "", "urban biome")</f>
        <v>0</v>
      </c>
      <c r="F476" s="1">
        <f>IF(B476="", "", "animal-associated habitat")</f>
        <v>0</v>
      </c>
      <c r="G476" s="1">
        <f>IF(B476="", "", "mouse")</f>
        <v>0</v>
      </c>
      <c r="H476" s="1">
        <f>IF(B476="", "", "Mus musculus")</f>
        <v>0</v>
      </c>
      <c r="I476" s="1">
        <f>IF(B476="", "", "10090")</f>
        <v>0</v>
      </c>
      <c r="J476" s="2">
        <f>IF(B476="", "", "missing: not provided")</f>
        <v>0</v>
      </c>
      <c r="K476" s="1">
        <f>IF(B476="", "", "g")</f>
        <v>0</v>
      </c>
    </row>
    <row r="477" spans="1:11">
      <c r="A477">
        <f>IF(COUNTBLANK(B477:K477)&lt;&gt;COLUMNS(B477:K477),476,"")</f>
        <v>0</v>
      </c>
      <c r="C477" s="2">
        <f>IF(B477="", "", "missing: not provided")</f>
        <v>0</v>
      </c>
      <c r="D477" s="1">
        <f>IF(B477="", "", "weeks")</f>
        <v>0</v>
      </c>
      <c r="E477" s="1">
        <f>IF(B477="", "", "urban biome")</f>
        <v>0</v>
      </c>
      <c r="F477" s="1">
        <f>IF(B477="", "", "animal-associated habitat")</f>
        <v>0</v>
      </c>
      <c r="G477" s="1">
        <f>IF(B477="", "", "mouse")</f>
        <v>0</v>
      </c>
      <c r="H477" s="1">
        <f>IF(B477="", "", "Mus musculus")</f>
        <v>0</v>
      </c>
      <c r="I477" s="1">
        <f>IF(B477="", "", "10090")</f>
        <v>0</v>
      </c>
      <c r="J477" s="2">
        <f>IF(B477="", "", "missing: not provided")</f>
        <v>0</v>
      </c>
      <c r="K477" s="1">
        <f>IF(B477="", "", "g")</f>
        <v>0</v>
      </c>
    </row>
    <row r="478" spans="1:11">
      <c r="A478">
        <f>IF(COUNTBLANK(B478:K478)&lt;&gt;COLUMNS(B478:K478),477,"")</f>
        <v>0</v>
      </c>
      <c r="C478" s="2">
        <f>IF(B478="", "", "missing: not provided")</f>
        <v>0</v>
      </c>
      <c r="D478" s="1">
        <f>IF(B478="", "", "weeks")</f>
        <v>0</v>
      </c>
      <c r="E478" s="1">
        <f>IF(B478="", "", "urban biome")</f>
        <v>0</v>
      </c>
      <c r="F478" s="1">
        <f>IF(B478="", "", "animal-associated habitat")</f>
        <v>0</v>
      </c>
      <c r="G478" s="1">
        <f>IF(B478="", "", "mouse")</f>
        <v>0</v>
      </c>
      <c r="H478" s="1">
        <f>IF(B478="", "", "Mus musculus")</f>
        <v>0</v>
      </c>
      <c r="I478" s="1">
        <f>IF(B478="", "", "10090")</f>
        <v>0</v>
      </c>
      <c r="J478" s="2">
        <f>IF(B478="", "", "missing: not provided")</f>
        <v>0</v>
      </c>
      <c r="K478" s="1">
        <f>IF(B478="", "", "g")</f>
        <v>0</v>
      </c>
    </row>
    <row r="479" spans="1:11">
      <c r="A479">
        <f>IF(COUNTBLANK(B479:K479)&lt;&gt;COLUMNS(B479:K479),478,"")</f>
        <v>0</v>
      </c>
      <c r="C479" s="2">
        <f>IF(B479="", "", "missing: not provided")</f>
        <v>0</v>
      </c>
      <c r="D479" s="1">
        <f>IF(B479="", "", "weeks")</f>
        <v>0</v>
      </c>
      <c r="E479" s="1">
        <f>IF(B479="", "", "urban biome")</f>
        <v>0</v>
      </c>
      <c r="F479" s="1">
        <f>IF(B479="", "", "animal-associated habitat")</f>
        <v>0</v>
      </c>
      <c r="G479" s="1">
        <f>IF(B479="", "", "mouse")</f>
        <v>0</v>
      </c>
      <c r="H479" s="1">
        <f>IF(B479="", "", "Mus musculus")</f>
        <v>0</v>
      </c>
      <c r="I479" s="1">
        <f>IF(B479="", "", "10090")</f>
        <v>0</v>
      </c>
      <c r="J479" s="2">
        <f>IF(B479="", "", "missing: not provided")</f>
        <v>0</v>
      </c>
      <c r="K479" s="1">
        <f>IF(B479="", "", "g")</f>
        <v>0</v>
      </c>
    </row>
    <row r="480" spans="1:11">
      <c r="A480">
        <f>IF(COUNTBLANK(B480:K480)&lt;&gt;COLUMNS(B480:K480),479,"")</f>
        <v>0</v>
      </c>
      <c r="C480" s="2">
        <f>IF(B480="", "", "missing: not provided")</f>
        <v>0</v>
      </c>
      <c r="D480" s="1">
        <f>IF(B480="", "", "weeks")</f>
        <v>0</v>
      </c>
      <c r="E480" s="1">
        <f>IF(B480="", "", "urban biome")</f>
        <v>0</v>
      </c>
      <c r="F480" s="1">
        <f>IF(B480="", "", "animal-associated habitat")</f>
        <v>0</v>
      </c>
      <c r="G480" s="1">
        <f>IF(B480="", "", "mouse")</f>
        <v>0</v>
      </c>
      <c r="H480" s="1">
        <f>IF(B480="", "", "Mus musculus")</f>
        <v>0</v>
      </c>
      <c r="I480" s="1">
        <f>IF(B480="", "", "10090")</f>
        <v>0</v>
      </c>
      <c r="J480" s="2">
        <f>IF(B480="", "", "missing: not provided")</f>
        <v>0</v>
      </c>
      <c r="K480" s="1">
        <f>IF(B480="", "", "g")</f>
        <v>0</v>
      </c>
    </row>
    <row r="481" spans="1:11">
      <c r="A481">
        <f>IF(COUNTBLANK(B481:K481)&lt;&gt;COLUMNS(B481:K481),480,"")</f>
        <v>0</v>
      </c>
      <c r="C481" s="2">
        <f>IF(B481="", "", "missing: not provided")</f>
        <v>0</v>
      </c>
      <c r="D481" s="1">
        <f>IF(B481="", "", "weeks")</f>
        <v>0</v>
      </c>
      <c r="E481" s="1">
        <f>IF(B481="", "", "urban biome")</f>
        <v>0</v>
      </c>
      <c r="F481" s="1">
        <f>IF(B481="", "", "animal-associated habitat")</f>
        <v>0</v>
      </c>
      <c r="G481" s="1">
        <f>IF(B481="", "", "mouse")</f>
        <v>0</v>
      </c>
      <c r="H481" s="1">
        <f>IF(B481="", "", "Mus musculus")</f>
        <v>0</v>
      </c>
      <c r="I481" s="1">
        <f>IF(B481="", "", "10090")</f>
        <v>0</v>
      </c>
      <c r="J481" s="2">
        <f>IF(B481="", "", "missing: not provided")</f>
        <v>0</v>
      </c>
      <c r="K481" s="1">
        <f>IF(B481="", "", "g")</f>
        <v>0</v>
      </c>
    </row>
    <row r="482" spans="1:11">
      <c r="A482">
        <f>IF(COUNTBLANK(B482:K482)&lt;&gt;COLUMNS(B482:K482),481,"")</f>
        <v>0</v>
      </c>
      <c r="C482" s="2">
        <f>IF(B482="", "", "missing: not provided")</f>
        <v>0</v>
      </c>
      <c r="D482" s="1">
        <f>IF(B482="", "", "weeks")</f>
        <v>0</v>
      </c>
      <c r="E482" s="1">
        <f>IF(B482="", "", "urban biome")</f>
        <v>0</v>
      </c>
      <c r="F482" s="1">
        <f>IF(B482="", "", "animal-associated habitat")</f>
        <v>0</v>
      </c>
      <c r="G482" s="1">
        <f>IF(B482="", "", "mouse")</f>
        <v>0</v>
      </c>
      <c r="H482" s="1">
        <f>IF(B482="", "", "Mus musculus")</f>
        <v>0</v>
      </c>
      <c r="I482" s="1">
        <f>IF(B482="", "", "10090")</f>
        <v>0</v>
      </c>
      <c r="J482" s="2">
        <f>IF(B482="", "", "missing: not provided")</f>
        <v>0</v>
      </c>
      <c r="K482" s="1">
        <f>IF(B482="", "", "g")</f>
        <v>0</v>
      </c>
    </row>
    <row r="483" spans="1:11">
      <c r="A483">
        <f>IF(COUNTBLANK(B483:K483)&lt;&gt;COLUMNS(B483:K483),482,"")</f>
        <v>0</v>
      </c>
      <c r="C483" s="2">
        <f>IF(B483="", "", "missing: not provided")</f>
        <v>0</v>
      </c>
      <c r="D483" s="1">
        <f>IF(B483="", "", "weeks")</f>
        <v>0</v>
      </c>
      <c r="E483" s="1">
        <f>IF(B483="", "", "urban biome")</f>
        <v>0</v>
      </c>
      <c r="F483" s="1">
        <f>IF(B483="", "", "animal-associated habitat")</f>
        <v>0</v>
      </c>
      <c r="G483" s="1">
        <f>IF(B483="", "", "mouse")</f>
        <v>0</v>
      </c>
      <c r="H483" s="1">
        <f>IF(B483="", "", "Mus musculus")</f>
        <v>0</v>
      </c>
      <c r="I483" s="1">
        <f>IF(B483="", "", "10090")</f>
        <v>0</v>
      </c>
      <c r="J483" s="2">
        <f>IF(B483="", "", "missing: not provided")</f>
        <v>0</v>
      </c>
      <c r="K483" s="1">
        <f>IF(B483="", "", "g")</f>
        <v>0</v>
      </c>
    </row>
    <row r="484" spans="1:11">
      <c r="A484">
        <f>IF(COUNTBLANK(B484:K484)&lt;&gt;COLUMNS(B484:K484),483,"")</f>
        <v>0</v>
      </c>
      <c r="C484" s="2">
        <f>IF(B484="", "", "missing: not provided")</f>
        <v>0</v>
      </c>
      <c r="D484" s="1">
        <f>IF(B484="", "", "weeks")</f>
        <v>0</v>
      </c>
      <c r="E484" s="1">
        <f>IF(B484="", "", "urban biome")</f>
        <v>0</v>
      </c>
      <c r="F484" s="1">
        <f>IF(B484="", "", "animal-associated habitat")</f>
        <v>0</v>
      </c>
      <c r="G484" s="1">
        <f>IF(B484="", "", "mouse")</f>
        <v>0</v>
      </c>
      <c r="H484" s="1">
        <f>IF(B484="", "", "Mus musculus")</f>
        <v>0</v>
      </c>
      <c r="I484" s="1">
        <f>IF(B484="", "", "10090")</f>
        <v>0</v>
      </c>
      <c r="J484" s="2">
        <f>IF(B484="", "", "missing: not provided")</f>
        <v>0</v>
      </c>
      <c r="K484" s="1">
        <f>IF(B484="", "", "g")</f>
        <v>0</v>
      </c>
    </row>
    <row r="485" spans="1:11">
      <c r="A485">
        <f>IF(COUNTBLANK(B485:K485)&lt;&gt;COLUMNS(B485:K485),484,"")</f>
        <v>0</v>
      </c>
      <c r="C485" s="2">
        <f>IF(B485="", "", "missing: not provided")</f>
        <v>0</v>
      </c>
      <c r="D485" s="1">
        <f>IF(B485="", "", "weeks")</f>
        <v>0</v>
      </c>
      <c r="E485" s="1">
        <f>IF(B485="", "", "urban biome")</f>
        <v>0</v>
      </c>
      <c r="F485" s="1">
        <f>IF(B485="", "", "animal-associated habitat")</f>
        <v>0</v>
      </c>
      <c r="G485" s="1">
        <f>IF(B485="", "", "mouse")</f>
        <v>0</v>
      </c>
      <c r="H485" s="1">
        <f>IF(B485="", "", "Mus musculus")</f>
        <v>0</v>
      </c>
      <c r="I485" s="1">
        <f>IF(B485="", "", "10090")</f>
        <v>0</v>
      </c>
      <c r="J485" s="2">
        <f>IF(B485="", "", "missing: not provided")</f>
        <v>0</v>
      </c>
      <c r="K485" s="1">
        <f>IF(B485="", "", "g")</f>
        <v>0</v>
      </c>
    </row>
    <row r="486" spans="1:11">
      <c r="A486">
        <f>IF(COUNTBLANK(B486:K486)&lt;&gt;COLUMNS(B486:K486),485,"")</f>
        <v>0</v>
      </c>
      <c r="C486" s="2">
        <f>IF(B486="", "", "missing: not provided")</f>
        <v>0</v>
      </c>
      <c r="D486" s="1">
        <f>IF(B486="", "", "weeks")</f>
        <v>0</v>
      </c>
      <c r="E486" s="1">
        <f>IF(B486="", "", "urban biome")</f>
        <v>0</v>
      </c>
      <c r="F486" s="1">
        <f>IF(B486="", "", "animal-associated habitat")</f>
        <v>0</v>
      </c>
      <c r="G486" s="1">
        <f>IF(B486="", "", "mouse")</f>
        <v>0</v>
      </c>
      <c r="H486" s="1">
        <f>IF(B486="", "", "Mus musculus")</f>
        <v>0</v>
      </c>
      <c r="I486" s="1">
        <f>IF(B486="", "", "10090")</f>
        <v>0</v>
      </c>
      <c r="J486" s="2">
        <f>IF(B486="", "", "missing: not provided")</f>
        <v>0</v>
      </c>
      <c r="K486" s="1">
        <f>IF(B486="", "", "g")</f>
        <v>0</v>
      </c>
    </row>
    <row r="487" spans="1:11">
      <c r="A487">
        <f>IF(COUNTBLANK(B487:K487)&lt;&gt;COLUMNS(B487:K487),486,"")</f>
        <v>0</v>
      </c>
      <c r="C487" s="2">
        <f>IF(B487="", "", "missing: not provided")</f>
        <v>0</v>
      </c>
      <c r="D487" s="1">
        <f>IF(B487="", "", "weeks")</f>
        <v>0</v>
      </c>
      <c r="E487" s="1">
        <f>IF(B487="", "", "urban biome")</f>
        <v>0</v>
      </c>
      <c r="F487" s="1">
        <f>IF(B487="", "", "animal-associated habitat")</f>
        <v>0</v>
      </c>
      <c r="G487" s="1">
        <f>IF(B487="", "", "mouse")</f>
        <v>0</v>
      </c>
      <c r="H487" s="1">
        <f>IF(B487="", "", "Mus musculus")</f>
        <v>0</v>
      </c>
      <c r="I487" s="1">
        <f>IF(B487="", "", "10090")</f>
        <v>0</v>
      </c>
      <c r="J487" s="2">
        <f>IF(B487="", "", "missing: not provided")</f>
        <v>0</v>
      </c>
      <c r="K487" s="1">
        <f>IF(B487="", "", "g")</f>
        <v>0</v>
      </c>
    </row>
    <row r="488" spans="1:11">
      <c r="A488">
        <f>IF(COUNTBLANK(B488:K488)&lt;&gt;COLUMNS(B488:K488),487,"")</f>
        <v>0</v>
      </c>
      <c r="C488" s="2">
        <f>IF(B488="", "", "missing: not provided")</f>
        <v>0</v>
      </c>
      <c r="D488" s="1">
        <f>IF(B488="", "", "weeks")</f>
        <v>0</v>
      </c>
      <c r="E488" s="1">
        <f>IF(B488="", "", "urban biome")</f>
        <v>0</v>
      </c>
      <c r="F488" s="1">
        <f>IF(B488="", "", "animal-associated habitat")</f>
        <v>0</v>
      </c>
      <c r="G488" s="1">
        <f>IF(B488="", "", "mouse")</f>
        <v>0</v>
      </c>
      <c r="H488" s="1">
        <f>IF(B488="", "", "Mus musculus")</f>
        <v>0</v>
      </c>
      <c r="I488" s="1">
        <f>IF(B488="", "", "10090")</f>
        <v>0</v>
      </c>
      <c r="J488" s="2">
        <f>IF(B488="", "", "missing: not provided")</f>
        <v>0</v>
      </c>
      <c r="K488" s="1">
        <f>IF(B488="", "", "g")</f>
        <v>0</v>
      </c>
    </row>
    <row r="489" spans="1:11">
      <c r="A489">
        <f>IF(COUNTBLANK(B489:K489)&lt;&gt;COLUMNS(B489:K489),488,"")</f>
        <v>0</v>
      </c>
      <c r="C489" s="2">
        <f>IF(B489="", "", "missing: not provided")</f>
        <v>0</v>
      </c>
      <c r="D489" s="1">
        <f>IF(B489="", "", "weeks")</f>
        <v>0</v>
      </c>
      <c r="E489" s="1">
        <f>IF(B489="", "", "urban biome")</f>
        <v>0</v>
      </c>
      <c r="F489" s="1">
        <f>IF(B489="", "", "animal-associated habitat")</f>
        <v>0</v>
      </c>
      <c r="G489" s="1">
        <f>IF(B489="", "", "mouse")</f>
        <v>0</v>
      </c>
      <c r="H489" s="1">
        <f>IF(B489="", "", "Mus musculus")</f>
        <v>0</v>
      </c>
      <c r="I489" s="1">
        <f>IF(B489="", "", "10090")</f>
        <v>0</v>
      </c>
      <c r="J489" s="2">
        <f>IF(B489="", "", "missing: not provided")</f>
        <v>0</v>
      </c>
      <c r="K489" s="1">
        <f>IF(B489="", "", "g")</f>
        <v>0</v>
      </c>
    </row>
    <row r="490" spans="1:11">
      <c r="A490">
        <f>IF(COUNTBLANK(B490:K490)&lt;&gt;COLUMNS(B490:K490),489,"")</f>
        <v>0</v>
      </c>
      <c r="C490" s="2">
        <f>IF(B490="", "", "missing: not provided")</f>
        <v>0</v>
      </c>
      <c r="D490" s="1">
        <f>IF(B490="", "", "weeks")</f>
        <v>0</v>
      </c>
      <c r="E490" s="1">
        <f>IF(B490="", "", "urban biome")</f>
        <v>0</v>
      </c>
      <c r="F490" s="1">
        <f>IF(B490="", "", "animal-associated habitat")</f>
        <v>0</v>
      </c>
      <c r="G490" s="1">
        <f>IF(B490="", "", "mouse")</f>
        <v>0</v>
      </c>
      <c r="H490" s="1">
        <f>IF(B490="", "", "Mus musculus")</f>
        <v>0</v>
      </c>
      <c r="I490" s="1">
        <f>IF(B490="", "", "10090")</f>
        <v>0</v>
      </c>
      <c r="J490" s="2">
        <f>IF(B490="", "", "missing: not provided")</f>
        <v>0</v>
      </c>
      <c r="K490" s="1">
        <f>IF(B490="", "", "g")</f>
        <v>0</v>
      </c>
    </row>
    <row r="491" spans="1:11">
      <c r="A491">
        <f>IF(COUNTBLANK(B491:K491)&lt;&gt;COLUMNS(B491:K491),490,"")</f>
        <v>0</v>
      </c>
      <c r="C491" s="2">
        <f>IF(B491="", "", "missing: not provided")</f>
        <v>0</v>
      </c>
      <c r="D491" s="1">
        <f>IF(B491="", "", "weeks")</f>
        <v>0</v>
      </c>
      <c r="E491" s="1">
        <f>IF(B491="", "", "urban biome")</f>
        <v>0</v>
      </c>
      <c r="F491" s="1">
        <f>IF(B491="", "", "animal-associated habitat")</f>
        <v>0</v>
      </c>
      <c r="G491" s="1">
        <f>IF(B491="", "", "mouse")</f>
        <v>0</v>
      </c>
      <c r="H491" s="1">
        <f>IF(B491="", "", "Mus musculus")</f>
        <v>0</v>
      </c>
      <c r="I491" s="1">
        <f>IF(B491="", "", "10090")</f>
        <v>0</v>
      </c>
      <c r="J491" s="2">
        <f>IF(B491="", "", "missing: not provided")</f>
        <v>0</v>
      </c>
      <c r="K491" s="1">
        <f>IF(B491="", "", "g")</f>
        <v>0</v>
      </c>
    </row>
    <row r="492" spans="1:11">
      <c r="A492">
        <f>IF(COUNTBLANK(B492:K492)&lt;&gt;COLUMNS(B492:K492),491,"")</f>
        <v>0</v>
      </c>
      <c r="C492" s="2">
        <f>IF(B492="", "", "missing: not provided")</f>
        <v>0</v>
      </c>
      <c r="D492" s="1">
        <f>IF(B492="", "", "weeks")</f>
        <v>0</v>
      </c>
      <c r="E492" s="1">
        <f>IF(B492="", "", "urban biome")</f>
        <v>0</v>
      </c>
      <c r="F492" s="1">
        <f>IF(B492="", "", "animal-associated habitat")</f>
        <v>0</v>
      </c>
      <c r="G492" s="1">
        <f>IF(B492="", "", "mouse")</f>
        <v>0</v>
      </c>
      <c r="H492" s="1">
        <f>IF(B492="", "", "Mus musculus")</f>
        <v>0</v>
      </c>
      <c r="I492" s="1">
        <f>IF(B492="", "", "10090")</f>
        <v>0</v>
      </c>
      <c r="J492" s="2">
        <f>IF(B492="", "", "missing: not provided")</f>
        <v>0</v>
      </c>
      <c r="K492" s="1">
        <f>IF(B492="", "", "g")</f>
        <v>0</v>
      </c>
    </row>
    <row r="493" spans="1:11">
      <c r="A493">
        <f>IF(COUNTBLANK(B493:K493)&lt;&gt;COLUMNS(B493:K493),492,"")</f>
        <v>0</v>
      </c>
      <c r="C493" s="2">
        <f>IF(B493="", "", "missing: not provided")</f>
        <v>0</v>
      </c>
      <c r="D493" s="1">
        <f>IF(B493="", "", "weeks")</f>
        <v>0</v>
      </c>
      <c r="E493" s="1">
        <f>IF(B493="", "", "urban biome")</f>
        <v>0</v>
      </c>
      <c r="F493" s="1">
        <f>IF(B493="", "", "animal-associated habitat")</f>
        <v>0</v>
      </c>
      <c r="G493" s="1">
        <f>IF(B493="", "", "mouse")</f>
        <v>0</v>
      </c>
      <c r="H493" s="1">
        <f>IF(B493="", "", "Mus musculus")</f>
        <v>0</v>
      </c>
      <c r="I493" s="1">
        <f>IF(B493="", "", "10090")</f>
        <v>0</v>
      </c>
      <c r="J493" s="2">
        <f>IF(B493="", "", "missing: not provided")</f>
        <v>0</v>
      </c>
      <c r="K493" s="1">
        <f>IF(B493="", "", "g")</f>
        <v>0</v>
      </c>
    </row>
    <row r="494" spans="1:11">
      <c r="A494">
        <f>IF(COUNTBLANK(B494:K494)&lt;&gt;COLUMNS(B494:K494),493,"")</f>
        <v>0</v>
      </c>
      <c r="C494" s="2">
        <f>IF(B494="", "", "missing: not provided")</f>
        <v>0</v>
      </c>
      <c r="D494" s="1">
        <f>IF(B494="", "", "weeks")</f>
        <v>0</v>
      </c>
      <c r="E494" s="1">
        <f>IF(B494="", "", "urban biome")</f>
        <v>0</v>
      </c>
      <c r="F494" s="1">
        <f>IF(B494="", "", "animal-associated habitat")</f>
        <v>0</v>
      </c>
      <c r="G494" s="1">
        <f>IF(B494="", "", "mouse")</f>
        <v>0</v>
      </c>
      <c r="H494" s="1">
        <f>IF(B494="", "", "Mus musculus")</f>
        <v>0</v>
      </c>
      <c r="I494" s="1">
        <f>IF(B494="", "", "10090")</f>
        <v>0</v>
      </c>
      <c r="J494" s="2">
        <f>IF(B494="", "", "missing: not provided")</f>
        <v>0</v>
      </c>
      <c r="K494" s="1">
        <f>IF(B494="", "", "g")</f>
        <v>0</v>
      </c>
    </row>
    <row r="495" spans="1:11">
      <c r="A495">
        <f>IF(COUNTBLANK(B495:K495)&lt;&gt;COLUMNS(B495:K495),494,"")</f>
        <v>0</v>
      </c>
      <c r="C495" s="2">
        <f>IF(B495="", "", "missing: not provided")</f>
        <v>0</v>
      </c>
      <c r="D495" s="1">
        <f>IF(B495="", "", "weeks")</f>
        <v>0</v>
      </c>
      <c r="E495" s="1">
        <f>IF(B495="", "", "urban biome")</f>
        <v>0</v>
      </c>
      <c r="F495" s="1">
        <f>IF(B495="", "", "animal-associated habitat")</f>
        <v>0</v>
      </c>
      <c r="G495" s="1">
        <f>IF(B495="", "", "mouse")</f>
        <v>0</v>
      </c>
      <c r="H495" s="1">
        <f>IF(B495="", "", "Mus musculus")</f>
        <v>0</v>
      </c>
      <c r="I495" s="1">
        <f>IF(B495="", "", "10090")</f>
        <v>0</v>
      </c>
      <c r="J495" s="2">
        <f>IF(B495="", "", "missing: not provided")</f>
        <v>0</v>
      </c>
      <c r="K495" s="1">
        <f>IF(B495="", "", "g")</f>
        <v>0</v>
      </c>
    </row>
    <row r="496" spans="1:11">
      <c r="A496">
        <f>IF(COUNTBLANK(B496:K496)&lt;&gt;COLUMNS(B496:K496),495,"")</f>
        <v>0</v>
      </c>
      <c r="C496" s="2">
        <f>IF(B496="", "", "missing: not provided")</f>
        <v>0</v>
      </c>
      <c r="D496" s="1">
        <f>IF(B496="", "", "weeks")</f>
        <v>0</v>
      </c>
      <c r="E496" s="1">
        <f>IF(B496="", "", "urban biome")</f>
        <v>0</v>
      </c>
      <c r="F496" s="1">
        <f>IF(B496="", "", "animal-associated habitat")</f>
        <v>0</v>
      </c>
      <c r="G496" s="1">
        <f>IF(B496="", "", "mouse")</f>
        <v>0</v>
      </c>
      <c r="H496" s="1">
        <f>IF(B496="", "", "Mus musculus")</f>
        <v>0</v>
      </c>
      <c r="I496" s="1">
        <f>IF(B496="", "", "10090")</f>
        <v>0</v>
      </c>
      <c r="J496" s="2">
        <f>IF(B496="", "", "missing: not provided")</f>
        <v>0</v>
      </c>
      <c r="K496" s="1">
        <f>IF(B496="", "", "g")</f>
        <v>0</v>
      </c>
    </row>
    <row r="497" spans="1:11">
      <c r="A497">
        <f>IF(COUNTBLANK(B497:K497)&lt;&gt;COLUMNS(B497:K497),496,"")</f>
        <v>0</v>
      </c>
      <c r="C497" s="2">
        <f>IF(B497="", "", "missing: not provided")</f>
        <v>0</v>
      </c>
      <c r="D497" s="1">
        <f>IF(B497="", "", "weeks")</f>
        <v>0</v>
      </c>
      <c r="E497" s="1">
        <f>IF(B497="", "", "urban biome")</f>
        <v>0</v>
      </c>
      <c r="F497" s="1">
        <f>IF(B497="", "", "animal-associated habitat")</f>
        <v>0</v>
      </c>
      <c r="G497" s="1">
        <f>IF(B497="", "", "mouse")</f>
        <v>0</v>
      </c>
      <c r="H497" s="1">
        <f>IF(B497="", "", "Mus musculus")</f>
        <v>0</v>
      </c>
      <c r="I497" s="1">
        <f>IF(B497="", "", "10090")</f>
        <v>0</v>
      </c>
      <c r="J497" s="2">
        <f>IF(B497="", "", "missing: not provided")</f>
        <v>0</v>
      </c>
      <c r="K497" s="1">
        <f>IF(B497="", "", "g")</f>
        <v>0</v>
      </c>
    </row>
    <row r="498" spans="1:11">
      <c r="A498">
        <f>IF(COUNTBLANK(B498:K498)&lt;&gt;COLUMNS(B498:K498),497,"")</f>
        <v>0</v>
      </c>
      <c r="C498" s="2">
        <f>IF(B498="", "", "missing: not provided")</f>
        <v>0</v>
      </c>
      <c r="D498" s="1">
        <f>IF(B498="", "", "weeks")</f>
        <v>0</v>
      </c>
      <c r="E498" s="1">
        <f>IF(B498="", "", "urban biome")</f>
        <v>0</v>
      </c>
      <c r="F498" s="1">
        <f>IF(B498="", "", "animal-associated habitat")</f>
        <v>0</v>
      </c>
      <c r="G498" s="1">
        <f>IF(B498="", "", "mouse")</f>
        <v>0</v>
      </c>
      <c r="H498" s="1">
        <f>IF(B498="", "", "Mus musculus")</f>
        <v>0</v>
      </c>
      <c r="I498" s="1">
        <f>IF(B498="", "", "10090")</f>
        <v>0</v>
      </c>
      <c r="J498" s="2">
        <f>IF(B498="", "", "missing: not provided")</f>
        <v>0</v>
      </c>
      <c r="K498" s="1">
        <f>IF(B498="", "", "g")</f>
        <v>0</v>
      </c>
    </row>
    <row r="499" spans="1:11">
      <c r="A499">
        <f>IF(COUNTBLANK(B499:K499)&lt;&gt;COLUMNS(B499:K499),498,"")</f>
        <v>0</v>
      </c>
      <c r="C499" s="2">
        <f>IF(B499="", "", "missing: not provided")</f>
        <v>0</v>
      </c>
      <c r="D499" s="1">
        <f>IF(B499="", "", "weeks")</f>
        <v>0</v>
      </c>
      <c r="E499" s="1">
        <f>IF(B499="", "", "urban biome")</f>
        <v>0</v>
      </c>
      <c r="F499" s="1">
        <f>IF(B499="", "", "animal-associated habitat")</f>
        <v>0</v>
      </c>
      <c r="G499" s="1">
        <f>IF(B499="", "", "mouse")</f>
        <v>0</v>
      </c>
      <c r="H499" s="1">
        <f>IF(B499="", "", "Mus musculus")</f>
        <v>0</v>
      </c>
      <c r="I499" s="1">
        <f>IF(B499="", "", "10090")</f>
        <v>0</v>
      </c>
      <c r="J499" s="2">
        <f>IF(B499="", "", "missing: not provided")</f>
        <v>0</v>
      </c>
      <c r="K499" s="1">
        <f>IF(B499="", "", "g")</f>
        <v>0</v>
      </c>
    </row>
    <row r="500" spans="1:11">
      <c r="A500">
        <f>IF(COUNTBLANK(B500:K500)&lt;&gt;COLUMNS(B500:K500),499,"")</f>
        <v>0</v>
      </c>
      <c r="C500" s="2">
        <f>IF(B500="", "", "missing: not provided")</f>
        <v>0</v>
      </c>
      <c r="D500" s="1">
        <f>IF(B500="", "", "weeks")</f>
        <v>0</v>
      </c>
      <c r="E500" s="1">
        <f>IF(B500="", "", "urban biome")</f>
        <v>0</v>
      </c>
      <c r="F500" s="1">
        <f>IF(B500="", "", "animal-associated habitat")</f>
        <v>0</v>
      </c>
      <c r="G500" s="1">
        <f>IF(B500="", "", "mouse")</f>
        <v>0</v>
      </c>
      <c r="H500" s="1">
        <f>IF(B500="", "", "Mus musculus")</f>
        <v>0</v>
      </c>
      <c r="I500" s="1">
        <f>IF(B500="", "", "10090")</f>
        <v>0</v>
      </c>
      <c r="J500" s="2">
        <f>IF(B500="", "", "missing: not provided")</f>
        <v>0</v>
      </c>
      <c r="K500" s="1">
        <f>IF(B500="", "", "g")</f>
        <v>0</v>
      </c>
    </row>
    <row r="501" spans="1:11">
      <c r="A501">
        <f>IF(COUNTBLANK(B501:K501)&lt;&gt;COLUMNS(B501:K501),500,"")</f>
        <v>0</v>
      </c>
      <c r="C501" s="2">
        <f>IF(B501="", "", "missing: not provided")</f>
        <v>0</v>
      </c>
      <c r="D501" s="1">
        <f>IF(B501="", "", "weeks")</f>
        <v>0</v>
      </c>
      <c r="E501" s="1">
        <f>IF(B501="", "", "urban biome")</f>
        <v>0</v>
      </c>
      <c r="F501" s="1">
        <f>IF(B501="", "", "animal-associated habitat")</f>
        <v>0</v>
      </c>
      <c r="G501" s="1">
        <f>IF(B501="", "", "mouse")</f>
        <v>0</v>
      </c>
      <c r="H501" s="1">
        <f>IF(B501="", "", "Mus musculus")</f>
        <v>0</v>
      </c>
      <c r="I501" s="1">
        <f>IF(B501="", "", "10090")</f>
        <v>0</v>
      </c>
      <c r="J501" s="2">
        <f>IF(B501="", "", "missing: not provided")</f>
        <v>0</v>
      </c>
      <c r="K501" s="1">
        <f>IF(B501="", "", "g")</f>
        <v>0</v>
      </c>
    </row>
    <row r="502" spans="1:11">
      <c r="A502">
        <f>IF(COUNTBLANK(B502:K502)&lt;&gt;COLUMNS(B502:K502),501,"")</f>
        <v>0</v>
      </c>
      <c r="C502" s="2">
        <f>IF(B502="", "", "missing: not provided")</f>
        <v>0</v>
      </c>
      <c r="D502" s="1">
        <f>IF(B502="", "", "weeks")</f>
        <v>0</v>
      </c>
      <c r="E502" s="1">
        <f>IF(B502="", "", "urban biome")</f>
        <v>0</v>
      </c>
      <c r="F502" s="1">
        <f>IF(B502="", "", "animal-associated habitat")</f>
        <v>0</v>
      </c>
      <c r="G502" s="1">
        <f>IF(B502="", "", "mouse")</f>
        <v>0</v>
      </c>
      <c r="H502" s="1">
        <f>IF(B502="", "", "Mus musculus")</f>
        <v>0</v>
      </c>
      <c r="I502" s="1">
        <f>IF(B502="", "", "10090")</f>
        <v>0</v>
      </c>
      <c r="J502" s="2">
        <f>IF(B502="", "", "missing: not provided")</f>
        <v>0</v>
      </c>
      <c r="K502" s="1">
        <f>IF(B502="", "", "g")</f>
        <v>0</v>
      </c>
    </row>
    <row r="503" spans="1:11">
      <c r="A503">
        <f>IF(COUNTBLANK(B503:K503)&lt;&gt;COLUMNS(B503:K503),502,"")</f>
        <v>0</v>
      </c>
      <c r="C503" s="2">
        <f>IF(B503="", "", "missing: not provided")</f>
        <v>0</v>
      </c>
      <c r="D503" s="1">
        <f>IF(B503="", "", "weeks")</f>
        <v>0</v>
      </c>
      <c r="E503" s="1">
        <f>IF(B503="", "", "urban biome")</f>
        <v>0</v>
      </c>
      <c r="F503" s="1">
        <f>IF(B503="", "", "animal-associated habitat")</f>
        <v>0</v>
      </c>
      <c r="G503" s="1">
        <f>IF(B503="", "", "mouse")</f>
        <v>0</v>
      </c>
      <c r="H503" s="1">
        <f>IF(B503="", "", "Mus musculus")</f>
        <v>0</v>
      </c>
      <c r="I503" s="1">
        <f>IF(B503="", "", "10090")</f>
        <v>0</v>
      </c>
      <c r="J503" s="2">
        <f>IF(B503="", "", "missing: not provided")</f>
        <v>0</v>
      </c>
      <c r="K503" s="1">
        <f>IF(B503="", "", "g")</f>
        <v>0</v>
      </c>
    </row>
    <row r="504" spans="1:11">
      <c r="A504">
        <f>IF(COUNTBLANK(B504:K504)&lt;&gt;COLUMNS(B504:K504),503,"")</f>
        <v>0</v>
      </c>
      <c r="C504" s="2">
        <f>IF(B504="", "", "missing: not provided")</f>
        <v>0</v>
      </c>
      <c r="D504" s="1">
        <f>IF(B504="", "", "weeks")</f>
        <v>0</v>
      </c>
      <c r="E504" s="1">
        <f>IF(B504="", "", "urban biome")</f>
        <v>0</v>
      </c>
      <c r="F504" s="1">
        <f>IF(B504="", "", "animal-associated habitat")</f>
        <v>0</v>
      </c>
      <c r="G504" s="1">
        <f>IF(B504="", "", "mouse")</f>
        <v>0</v>
      </c>
      <c r="H504" s="1">
        <f>IF(B504="", "", "Mus musculus")</f>
        <v>0</v>
      </c>
      <c r="I504" s="1">
        <f>IF(B504="", "", "10090")</f>
        <v>0</v>
      </c>
      <c r="J504" s="2">
        <f>IF(B504="", "", "missing: not provided")</f>
        <v>0</v>
      </c>
      <c r="K504" s="1">
        <f>IF(B504="", "", "g")</f>
        <v>0</v>
      </c>
    </row>
    <row r="505" spans="1:11">
      <c r="A505">
        <f>IF(COUNTBLANK(B505:K505)&lt;&gt;COLUMNS(B505:K505),504,"")</f>
        <v>0</v>
      </c>
      <c r="C505" s="2">
        <f>IF(B505="", "", "missing: not provided")</f>
        <v>0</v>
      </c>
      <c r="D505" s="1">
        <f>IF(B505="", "", "weeks")</f>
        <v>0</v>
      </c>
      <c r="E505" s="1">
        <f>IF(B505="", "", "urban biome")</f>
        <v>0</v>
      </c>
      <c r="F505" s="1">
        <f>IF(B505="", "", "animal-associated habitat")</f>
        <v>0</v>
      </c>
      <c r="G505" s="1">
        <f>IF(B505="", "", "mouse")</f>
        <v>0</v>
      </c>
      <c r="H505" s="1">
        <f>IF(B505="", "", "Mus musculus")</f>
        <v>0</v>
      </c>
      <c r="I505" s="1">
        <f>IF(B505="", "", "10090")</f>
        <v>0</v>
      </c>
      <c r="J505" s="2">
        <f>IF(B505="", "", "missing: not provided")</f>
        <v>0</v>
      </c>
      <c r="K505" s="1">
        <f>IF(B505="", "", "g")</f>
        <v>0</v>
      </c>
    </row>
    <row r="506" spans="1:11">
      <c r="A506">
        <f>IF(COUNTBLANK(B506:K506)&lt;&gt;COLUMNS(B506:K506),505,"")</f>
        <v>0</v>
      </c>
      <c r="C506" s="2">
        <f>IF(B506="", "", "missing: not provided")</f>
        <v>0</v>
      </c>
      <c r="D506" s="1">
        <f>IF(B506="", "", "weeks")</f>
        <v>0</v>
      </c>
      <c r="E506" s="1">
        <f>IF(B506="", "", "urban biome")</f>
        <v>0</v>
      </c>
      <c r="F506" s="1">
        <f>IF(B506="", "", "animal-associated habitat")</f>
        <v>0</v>
      </c>
      <c r="G506" s="1">
        <f>IF(B506="", "", "mouse")</f>
        <v>0</v>
      </c>
      <c r="H506" s="1">
        <f>IF(B506="", "", "Mus musculus")</f>
        <v>0</v>
      </c>
      <c r="I506" s="1">
        <f>IF(B506="", "", "10090")</f>
        <v>0</v>
      </c>
      <c r="J506" s="2">
        <f>IF(B506="", "", "missing: not provided")</f>
        <v>0</v>
      </c>
      <c r="K506" s="1">
        <f>IF(B506="", "", "g")</f>
        <v>0</v>
      </c>
    </row>
    <row r="507" spans="1:11">
      <c r="A507">
        <f>IF(COUNTBLANK(B507:K507)&lt;&gt;COLUMNS(B507:K507),506,"")</f>
        <v>0</v>
      </c>
      <c r="C507" s="2">
        <f>IF(B507="", "", "missing: not provided")</f>
        <v>0</v>
      </c>
      <c r="D507" s="1">
        <f>IF(B507="", "", "weeks")</f>
        <v>0</v>
      </c>
      <c r="E507" s="1">
        <f>IF(B507="", "", "urban biome")</f>
        <v>0</v>
      </c>
      <c r="F507" s="1">
        <f>IF(B507="", "", "animal-associated habitat")</f>
        <v>0</v>
      </c>
      <c r="G507" s="1">
        <f>IF(B507="", "", "mouse")</f>
        <v>0</v>
      </c>
      <c r="H507" s="1">
        <f>IF(B507="", "", "Mus musculus")</f>
        <v>0</v>
      </c>
      <c r="I507" s="1">
        <f>IF(B507="", "", "10090")</f>
        <v>0</v>
      </c>
      <c r="J507" s="2">
        <f>IF(B507="", "", "missing: not provided")</f>
        <v>0</v>
      </c>
      <c r="K507" s="1">
        <f>IF(B507="", "", "g")</f>
        <v>0</v>
      </c>
    </row>
    <row r="508" spans="1:11">
      <c r="A508">
        <f>IF(COUNTBLANK(B508:K508)&lt;&gt;COLUMNS(B508:K508),507,"")</f>
        <v>0</v>
      </c>
      <c r="C508" s="2">
        <f>IF(B508="", "", "missing: not provided")</f>
        <v>0</v>
      </c>
      <c r="D508" s="1">
        <f>IF(B508="", "", "weeks")</f>
        <v>0</v>
      </c>
      <c r="E508" s="1">
        <f>IF(B508="", "", "urban biome")</f>
        <v>0</v>
      </c>
      <c r="F508" s="1">
        <f>IF(B508="", "", "animal-associated habitat")</f>
        <v>0</v>
      </c>
      <c r="G508" s="1">
        <f>IF(B508="", "", "mouse")</f>
        <v>0</v>
      </c>
      <c r="H508" s="1">
        <f>IF(B508="", "", "Mus musculus")</f>
        <v>0</v>
      </c>
      <c r="I508" s="1">
        <f>IF(B508="", "", "10090")</f>
        <v>0</v>
      </c>
      <c r="J508" s="2">
        <f>IF(B508="", "", "missing: not provided")</f>
        <v>0</v>
      </c>
      <c r="K508" s="1">
        <f>IF(B508="", "", "g")</f>
        <v>0</v>
      </c>
    </row>
    <row r="509" spans="1:11">
      <c r="A509">
        <f>IF(COUNTBLANK(B509:K509)&lt;&gt;COLUMNS(B509:K509),508,"")</f>
        <v>0</v>
      </c>
      <c r="C509" s="2">
        <f>IF(B509="", "", "missing: not provided")</f>
        <v>0</v>
      </c>
      <c r="D509" s="1">
        <f>IF(B509="", "", "weeks")</f>
        <v>0</v>
      </c>
      <c r="E509" s="1">
        <f>IF(B509="", "", "urban biome")</f>
        <v>0</v>
      </c>
      <c r="F509" s="1">
        <f>IF(B509="", "", "animal-associated habitat")</f>
        <v>0</v>
      </c>
      <c r="G509" s="1">
        <f>IF(B509="", "", "mouse")</f>
        <v>0</v>
      </c>
      <c r="H509" s="1">
        <f>IF(B509="", "", "Mus musculus")</f>
        <v>0</v>
      </c>
      <c r="I509" s="1">
        <f>IF(B509="", "", "10090")</f>
        <v>0</v>
      </c>
      <c r="J509" s="2">
        <f>IF(B509="", "", "missing: not provided")</f>
        <v>0</v>
      </c>
      <c r="K509" s="1">
        <f>IF(B509="", "", "g")</f>
        <v>0</v>
      </c>
    </row>
    <row r="510" spans="1:11">
      <c r="A510">
        <f>IF(COUNTBLANK(B510:K510)&lt;&gt;COLUMNS(B510:K510),509,"")</f>
        <v>0</v>
      </c>
      <c r="C510" s="2">
        <f>IF(B510="", "", "missing: not provided")</f>
        <v>0</v>
      </c>
      <c r="D510" s="1">
        <f>IF(B510="", "", "weeks")</f>
        <v>0</v>
      </c>
      <c r="E510" s="1">
        <f>IF(B510="", "", "urban biome")</f>
        <v>0</v>
      </c>
      <c r="F510" s="1">
        <f>IF(B510="", "", "animal-associated habitat")</f>
        <v>0</v>
      </c>
      <c r="G510" s="1">
        <f>IF(B510="", "", "mouse")</f>
        <v>0</v>
      </c>
      <c r="H510" s="1">
        <f>IF(B510="", "", "Mus musculus")</f>
        <v>0</v>
      </c>
      <c r="I510" s="1">
        <f>IF(B510="", "", "10090")</f>
        <v>0</v>
      </c>
      <c r="J510" s="2">
        <f>IF(B510="", "", "missing: not provided")</f>
        <v>0</v>
      </c>
      <c r="K510" s="1">
        <f>IF(B510="", "", "g")</f>
        <v>0</v>
      </c>
    </row>
    <row r="511" spans="1:11">
      <c r="A511">
        <f>IF(COUNTBLANK(B511:K511)&lt;&gt;COLUMNS(B511:K511),510,"")</f>
        <v>0</v>
      </c>
      <c r="C511" s="2">
        <f>IF(B511="", "", "missing: not provided")</f>
        <v>0</v>
      </c>
      <c r="D511" s="1">
        <f>IF(B511="", "", "weeks")</f>
        <v>0</v>
      </c>
      <c r="E511" s="1">
        <f>IF(B511="", "", "urban biome")</f>
        <v>0</v>
      </c>
      <c r="F511" s="1">
        <f>IF(B511="", "", "animal-associated habitat")</f>
        <v>0</v>
      </c>
      <c r="G511" s="1">
        <f>IF(B511="", "", "mouse")</f>
        <v>0</v>
      </c>
      <c r="H511" s="1">
        <f>IF(B511="", "", "Mus musculus")</f>
        <v>0</v>
      </c>
      <c r="I511" s="1">
        <f>IF(B511="", "", "10090")</f>
        <v>0</v>
      </c>
      <c r="J511" s="2">
        <f>IF(B511="", "", "missing: not provided")</f>
        <v>0</v>
      </c>
      <c r="K511" s="1">
        <f>IF(B511="", "", "g")</f>
        <v>0</v>
      </c>
    </row>
    <row r="512" spans="1:11">
      <c r="A512">
        <f>IF(COUNTBLANK(B512:K512)&lt;&gt;COLUMNS(B512:K512),511,"")</f>
        <v>0</v>
      </c>
      <c r="C512" s="2">
        <f>IF(B512="", "", "missing: not provided")</f>
        <v>0</v>
      </c>
      <c r="D512" s="1">
        <f>IF(B512="", "", "weeks")</f>
        <v>0</v>
      </c>
      <c r="E512" s="1">
        <f>IF(B512="", "", "urban biome")</f>
        <v>0</v>
      </c>
      <c r="F512" s="1">
        <f>IF(B512="", "", "animal-associated habitat")</f>
        <v>0</v>
      </c>
      <c r="G512" s="1">
        <f>IF(B512="", "", "mouse")</f>
        <v>0</v>
      </c>
      <c r="H512" s="1">
        <f>IF(B512="", "", "Mus musculus")</f>
        <v>0</v>
      </c>
      <c r="I512" s="1">
        <f>IF(B512="", "", "10090")</f>
        <v>0</v>
      </c>
      <c r="J512" s="2">
        <f>IF(B512="", "", "missing: not provided")</f>
        <v>0</v>
      </c>
      <c r="K512" s="1">
        <f>IF(B512="", "", "g")</f>
        <v>0</v>
      </c>
    </row>
    <row r="513" spans="1:11">
      <c r="A513">
        <f>IF(COUNTBLANK(B513:K513)&lt;&gt;COLUMNS(B513:K513),512,"")</f>
        <v>0</v>
      </c>
      <c r="C513" s="2">
        <f>IF(B513="", "", "missing: not provided")</f>
        <v>0</v>
      </c>
      <c r="D513" s="1">
        <f>IF(B513="", "", "weeks")</f>
        <v>0</v>
      </c>
      <c r="E513" s="1">
        <f>IF(B513="", "", "urban biome")</f>
        <v>0</v>
      </c>
      <c r="F513" s="1">
        <f>IF(B513="", "", "animal-associated habitat")</f>
        <v>0</v>
      </c>
      <c r="G513" s="1">
        <f>IF(B513="", "", "mouse")</f>
        <v>0</v>
      </c>
      <c r="H513" s="1">
        <f>IF(B513="", "", "Mus musculus")</f>
        <v>0</v>
      </c>
      <c r="I513" s="1">
        <f>IF(B513="", "", "10090")</f>
        <v>0</v>
      </c>
      <c r="J513" s="2">
        <f>IF(B513="", "", "missing: not provided")</f>
        <v>0</v>
      </c>
      <c r="K513" s="1">
        <f>IF(B513="", "", "g")</f>
        <v>0</v>
      </c>
    </row>
    <row r="514" spans="1:11">
      <c r="A514">
        <f>IF(COUNTBLANK(B514:K514)&lt;&gt;COLUMNS(B514:K514),513,"")</f>
        <v>0</v>
      </c>
      <c r="C514" s="2">
        <f>IF(B514="", "", "missing: not provided")</f>
        <v>0</v>
      </c>
      <c r="D514" s="1">
        <f>IF(B514="", "", "weeks")</f>
        <v>0</v>
      </c>
      <c r="E514" s="1">
        <f>IF(B514="", "", "urban biome")</f>
        <v>0</v>
      </c>
      <c r="F514" s="1">
        <f>IF(B514="", "", "animal-associated habitat")</f>
        <v>0</v>
      </c>
      <c r="G514" s="1">
        <f>IF(B514="", "", "mouse")</f>
        <v>0</v>
      </c>
      <c r="H514" s="1">
        <f>IF(B514="", "", "Mus musculus")</f>
        <v>0</v>
      </c>
      <c r="I514" s="1">
        <f>IF(B514="", "", "10090")</f>
        <v>0</v>
      </c>
      <c r="J514" s="2">
        <f>IF(B514="", "", "missing: not provided")</f>
        <v>0</v>
      </c>
      <c r="K514" s="1">
        <f>IF(B514="", "", "g")</f>
        <v>0</v>
      </c>
    </row>
    <row r="515" spans="1:11">
      <c r="A515">
        <f>IF(COUNTBLANK(B515:K515)&lt;&gt;COLUMNS(B515:K515),514,"")</f>
        <v>0</v>
      </c>
      <c r="C515" s="2">
        <f>IF(B515="", "", "missing: not provided")</f>
        <v>0</v>
      </c>
      <c r="D515" s="1">
        <f>IF(B515="", "", "weeks")</f>
        <v>0</v>
      </c>
      <c r="E515" s="1">
        <f>IF(B515="", "", "urban biome")</f>
        <v>0</v>
      </c>
      <c r="F515" s="1">
        <f>IF(B515="", "", "animal-associated habitat")</f>
        <v>0</v>
      </c>
      <c r="G515" s="1">
        <f>IF(B515="", "", "mouse")</f>
        <v>0</v>
      </c>
      <c r="H515" s="1">
        <f>IF(B515="", "", "Mus musculus")</f>
        <v>0</v>
      </c>
      <c r="I515" s="1">
        <f>IF(B515="", "", "10090")</f>
        <v>0</v>
      </c>
      <c r="J515" s="2">
        <f>IF(B515="", "", "missing: not provided")</f>
        <v>0</v>
      </c>
      <c r="K515" s="1">
        <f>IF(B515="", "", "g")</f>
        <v>0</v>
      </c>
    </row>
    <row r="516" spans="1:11">
      <c r="A516">
        <f>IF(COUNTBLANK(B516:K516)&lt;&gt;COLUMNS(B516:K516),515,"")</f>
        <v>0</v>
      </c>
      <c r="C516" s="2">
        <f>IF(B516="", "", "missing: not provided")</f>
        <v>0</v>
      </c>
      <c r="D516" s="1">
        <f>IF(B516="", "", "weeks")</f>
        <v>0</v>
      </c>
      <c r="E516" s="1">
        <f>IF(B516="", "", "urban biome")</f>
        <v>0</v>
      </c>
      <c r="F516" s="1">
        <f>IF(B516="", "", "animal-associated habitat")</f>
        <v>0</v>
      </c>
      <c r="G516" s="1">
        <f>IF(B516="", "", "mouse")</f>
        <v>0</v>
      </c>
      <c r="H516" s="1">
        <f>IF(B516="", "", "Mus musculus")</f>
        <v>0</v>
      </c>
      <c r="I516" s="1">
        <f>IF(B516="", "", "10090")</f>
        <v>0</v>
      </c>
      <c r="J516" s="2">
        <f>IF(B516="", "", "missing: not provided")</f>
        <v>0</v>
      </c>
      <c r="K516" s="1">
        <f>IF(B516="", "", "g")</f>
        <v>0</v>
      </c>
    </row>
    <row r="517" spans="1:11">
      <c r="A517">
        <f>IF(COUNTBLANK(B517:K517)&lt;&gt;COLUMNS(B517:K517),516,"")</f>
        <v>0</v>
      </c>
      <c r="C517" s="2">
        <f>IF(B517="", "", "missing: not provided")</f>
        <v>0</v>
      </c>
      <c r="D517" s="1">
        <f>IF(B517="", "", "weeks")</f>
        <v>0</v>
      </c>
      <c r="E517" s="1">
        <f>IF(B517="", "", "urban biome")</f>
        <v>0</v>
      </c>
      <c r="F517" s="1">
        <f>IF(B517="", "", "animal-associated habitat")</f>
        <v>0</v>
      </c>
      <c r="G517" s="1">
        <f>IF(B517="", "", "mouse")</f>
        <v>0</v>
      </c>
      <c r="H517" s="1">
        <f>IF(B517="", "", "Mus musculus")</f>
        <v>0</v>
      </c>
      <c r="I517" s="1">
        <f>IF(B517="", "", "10090")</f>
        <v>0</v>
      </c>
      <c r="J517" s="2">
        <f>IF(B517="", "", "missing: not provided")</f>
        <v>0</v>
      </c>
      <c r="K517" s="1">
        <f>IF(B517="", "", "g")</f>
        <v>0</v>
      </c>
    </row>
    <row r="518" spans="1:11">
      <c r="A518">
        <f>IF(COUNTBLANK(B518:K518)&lt;&gt;COLUMNS(B518:K518),517,"")</f>
        <v>0</v>
      </c>
      <c r="C518" s="2">
        <f>IF(B518="", "", "missing: not provided")</f>
        <v>0</v>
      </c>
      <c r="D518" s="1">
        <f>IF(B518="", "", "weeks")</f>
        <v>0</v>
      </c>
      <c r="E518" s="1">
        <f>IF(B518="", "", "urban biome")</f>
        <v>0</v>
      </c>
      <c r="F518" s="1">
        <f>IF(B518="", "", "animal-associated habitat")</f>
        <v>0</v>
      </c>
      <c r="G518" s="1">
        <f>IF(B518="", "", "mouse")</f>
        <v>0</v>
      </c>
      <c r="H518" s="1">
        <f>IF(B518="", "", "Mus musculus")</f>
        <v>0</v>
      </c>
      <c r="I518" s="1">
        <f>IF(B518="", "", "10090")</f>
        <v>0</v>
      </c>
      <c r="J518" s="2">
        <f>IF(B518="", "", "missing: not provided")</f>
        <v>0</v>
      </c>
      <c r="K518" s="1">
        <f>IF(B518="", "", "g")</f>
        <v>0</v>
      </c>
    </row>
    <row r="519" spans="1:11">
      <c r="A519">
        <f>IF(COUNTBLANK(B519:K519)&lt;&gt;COLUMNS(B519:K519),518,"")</f>
        <v>0</v>
      </c>
      <c r="C519" s="2">
        <f>IF(B519="", "", "missing: not provided")</f>
        <v>0</v>
      </c>
      <c r="D519" s="1">
        <f>IF(B519="", "", "weeks")</f>
        <v>0</v>
      </c>
      <c r="E519" s="1">
        <f>IF(B519="", "", "urban biome")</f>
        <v>0</v>
      </c>
      <c r="F519" s="1">
        <f>IF(B519="", "", "animal-associated habitat")</f>
        <v>0</v>
      </c>
      <c r="G519" s="1">
        <f>IF(B519="", "", "mouse")</f>
        <v>0</v>
      </c>
      <c r="H519" s="1">
        <f>IF(B519="", "", "Mus musculus")</f>
        <v>0</v>
      </c>
      <c r="I519" s="1">
        <f>IF(B519="", "", "10090")</f>
        <v>0</v>
      </c>
      <c r="J519" s="2">
        <f>IF(B519="", "", "missing: not provided")</f>
        <v>0</v>
      </c>
      <c r="K519" s="1">
        <f>IF(B519="", "", "g")</f>
        <v>0</v>
      </c>
    </row>
    <row r="520" spans="1:11">
      <c r="A520">
        <f>IF(COUNTBLANK(B520:K520)&lt;&gt;COLUMNS(B520:K520),519,"")</f>
        <v>0</v>
      </c>
      <c r="C520" s="2">
        <f>IF(B520="", "", "missing: not provided")</f>
        <v>0</v>
      </c>
      <c r="D520" s="1">
        <f>IF(B520="", "", "weeks")</f>
        <v>0</v>
      </c>
      <c r="E520" s="1">
        <f>IF(B520="", "", "urban biome")</f>
        <v>0</v>
      </c>
      <c r="F520" s="1">
        <f>IF(B520="", "", "animal-associated habitat")</f>
        <v>0</v>
      </c>
      <c r="G520" s="1">
        <f>IF(B520="", "", "mouse")</f>
        <v>0</v>
      </c>
      <c r="H520" s="1">
        <f>IF(B520="", "", "Mus musculus")</f>
        <v>0</v>
      </c>
      <c r="I520" s="1">
        <f>IF(B520="", "", "10090")</f>
        <v>0</v>
      </c>
      <c r="J520" s="2">
        <f>IF(B520="", "", "missing: not provided")</f>
        <v>0</v>
      </c>
      <c r="K520" s="1">
        <f>IF(B520="", "", "g")</f>
        <v>0</v>
      </c>
    </row>
    <row r="521" spans="1:11">
      <c r="A521">
        <f>IF(COUNTBLANK(B521:K521)&lt;&gt;COLUMNS(B521:K521),520,"")</f>
        <v>0</v>
      </c>
      <c r="C521" s="2">
        <f>IF(B521="", "", "missing: not provided")</f>
        <v>0</v>
      </c>
      <c r="D521" s="1">
        <f>IF(B521="", "", "weeks")</f>
        <v>0</v>
      </c>
      <c r="E521" s="1">
        <f>IF(B521="", "", "urban biome")</f>
        <v>0</v>
      </c>
      <c r="F521" s="1">
        <f>IF(B521="", "", "animal-associated habitat")</f>
        <v>0</v>
      </c>
      <c r="G521" s="1">
        <f>IF(B521="", "", "mouse")</f>
        <v>0</v>
      </c>
      <c r="H521" s="1">
        <f>IF(B521="", "", "Mus musculus")</f>
        <v>0</v>
      </c>
      <c r="I521" s="1">
        <f>IF(B521="", "", "10090")</f>
        <v>0</v>
      </c>
      <c r="J521" s="2">
        <f>IF(B521="", "", "missing: not provided")</f>
        <v>0</v>
      </c>
      <c r="K521" s="1">
        <f>IF(B521="", "", "g")</f>
        <v>0</v>
      </c>
    </row>
    <row r="522" spans="1:11">
      <c r="A522">
        <f>IF(COUNTBLANK(B522:K522)&lt;&gt;COLUMNS(B522:K522),521,"")</f>
        <v>0</v>
      </c>
      <c r="C522" s="2">
        <f>IF(B522="", "", "missing: not provided")</f>
        <v>0</v>
      </c>
      <c r="D522" s="1">
        <f>IF(B522="", "", "weeks")</f>
        <v>0</v>
      </c>
      <c r="E522" s="1">
        <f>IF(B522="", "", "urban biome")</f>
        <v>0</v>
      </c>
      <c r="F522" s="1">
        <f>IF(B522="", "", "animal-associated habitat")</f>
        <v>0</v>
      </c>
      <c r="G522" s="1">
        <f>IF(B522="", "", "mouse")</f>
        <v>0</v>
      </c>
      <c r="H522" s="1">
        <f>IF(B522="", "", "Mus musculus")</f>
        <v>0</v>
      </c>
      <c r="I522" s="1">
        <f>IF(B522="", "", "10090")</f>
        <v>0</v>
      </c>
      <c r="J522" s="2">
        <f>IF(B522="", "", "missing: not provided")</f>
        <v>0</v>
      </c>
      <c r="K522" s="1">
        <f>IF(B522="", "", "g")</f>
        <v>0</v>
      </c>
    </row>
    <row r="523" spans="1:11">
      <c r="A523">
        <f>IF(COUNTBLANK(B523:K523)&lt;&gt;COLUMNS(B523:K523),522,"")</f>
        <v>0</v>
      </c>
      <c r="C523" s="2">
        <f>IF(B523="", "", "missing: not provided")</f>
        <v>0</v>
      </c>
      <c r="D523" s="1">
        <f>IF(B523="", "", "weeks")</f>
        <v>0</v>
      </c>
      <c r="E523" s="1">
        <f>IF(B523="", "", "urban biome")</f>
        <v>0</v>
      </c>
      <c r="F523" s="1">
        <f>IF(B523="", "", "animal-associated habitat")</f>
        <v>0</v>
      </c>
      <c r="G523" s="1">
        <f>IF(B523="", "", "mouse")</f>
        <v>0</v>
      </c>
      <c r="H523" s="1">
        <f>IF(B523="", "", "Mus musculus")</f>
        <v>0</v>
      </c>
      <c r="I523" s="1">
        <f>IF(B523="", "", "10090")</f>
        <v>0</v>
      </c>
      <c r="J523" s="2">
        <f>IF(B523="", "", "missing: not provided")</f>
        <v>0</v>
      </c>
      <c r="K523" s="1">
        <f>IF(B523="", "", "g")</f>
        <v>0</v>
      </c>
    </row>
    <row r="524" spans="1:11">
      <c r="A524">
        <f>IF(COUNTBLANK(B524:K524)&lt;&gt;COLUMNS(B524:K524),523,"")</f>
        <v>0</v>
      </c>
      <c r="C524" s="2">
        <f>IF(B524="", "", "missing: not provided")</f>
        <v>0</v>
      </c>
      <c r="D524" s="1">
        <f>IF(B524="", "", "weeks")</f>
        <v>0</v>
      </c>
      <c r="E524" s="1">
        <f>IF(B524="", "", "urban biome")</f>
        <v>0</v>
      </c>
      <c r="F524" s="1">
        <f>IF(B524="", "", "animal-associated habitat")</f>
        <v>0</v>
      </c>
      <c r="G524" s="1">
        <f>IF(B524="", "", "mouse")</f>
        <v>0</v>
      </c>
      <c r="H524" s="1">
        <f>IF(B524="", "", "Mus musculus")</f>
        <v>0</v>
      </c>
      <c r="I524" s="1">
        <f>IF(B524="", "", "10090")</f>
        <v>0</v>
      </c>
      <c r="J524" s="2">
        <f>IF(B524="", "", "missing: not provided")</f>
        <v>0</v>
      </c>
      <c r="K524" s="1">
        <f>IF(B524="", "", "g")</f>
        <v>0</v>
      </c>
    </row>
    <row r="525" spans="1:11">
      <c r="A525">
        <f>IF(COUNTBLANK(B525:K525)&lt;&gt;COLUMNS(B525:K525),524,"")</f>
        <v>0</v>
      </c>
      <c r="C525" s="2">
        <f>IF(B525="", "", "missing: not provided")</f>
        <v>0</v>
      </c>
      <c r="D525" s="1">
        <f>IF(B525="", "", "weeks")</f>
        <v>0</v>
      </c>
      <c r="E525" s="1">
        <f>IF(B525="", "", "urban biome")</f>
        <v>0</v>
      </c>
      <c r="F525" s="1">
        <f>IF(B525="", "", "animal-associated habitat")</f>
        <v>0</v>
      </c>
      <c r="G525" s="1">
        <f>IF(B525="", "", "mouse")</f>
        <v>0</v>
      </c>
      <c r="H525" s="1">
        <f>IF(B525="", "", "Mus musculus")</f>
        <v>0</v>
      </c>
      <c r="I525" s="1">
        <f>IF(B525="", "", "10090")</f>
        <v>0</v>
      </c>
      <c r="J525" s="2">
        <f>IF(B525="", "", "missing: not provided")</f>
        <v>0</v>
      </c>
      <c r="K525" s="1">
        <f>IF(B525="", "", "g")</f>
        <v>0</v>
      </c>
    </row>
    <row r="526" spans="1:11">
      <c r="A526">
        <f>IF(COUNTBLANK(B526:K526)&lt;&gt;COLUMNS(B526:K526),525,"")</f>
        <v>0</v>
      </c>
      <c r="C526" s="2">
        <f>IF(B526="", "", "missing: not provided")</f>
        <v>0</v>
      </c>
      <c r="D526" s="1">
        <f>IF(B526="", "", "weeks")</f>
        <v>0</v>
      </c>
      <c r="E526" s="1">
        <f>IF(B526="", "", "urban biome")</f>
        <v>0</v>
      </c>
      <c r="F526" s="1">
        <f>IF(B526="", "", "animal-associated habitat")</f>
        <v>0</v>
      </c>
      <c r="G526" s="1">
        <f>IF(B526="", "", "mouse")</f>
        <v>0</v>
      </c>
      <c r="H526" s="1">
        <f>IF(B526="", "", "Mus musculus")</f>
        <v>0</v>
      </c>
      <c r="I526" s="1">
        <f>IF(B526="", "", "10090")</f>
        <v>0</v>
      </c>
      <c r="J526" s="2">
        <f>IF(B526="", "", "missing: not provided")</f>
        <v>0</v>
      </c>
      <c r="K526" s="1">
        <f>IF(B526="", "", "g")</f>
        <v>0</v>
      </c>
    </row>
    <row r="527" spans="1:11">
      <c r="A527">
        <f>IF(COUNTBLANK(B527:K527)&lt;&gt;COLUMNS(B527:K527),526,"")</f>
        <v>0</v>
      </c>
      <c r="C527" s="2">
        <f>IF(B527="", "", "missing: not provided")</f>
        <v>0</v>
      </c>
      <c r="D527" s="1">
        <f>IF(B527="", "", "weeks")</f>
        <v>0</v>
      </c>
      <c r="E527" s="1">
        <f>IF(B527="", "", "urban biome")</f>
        <v>0</v>
      </c>
      <c r="F527" s="1">
        <f>IF(B527="", "", "animal-associated habitat")</f>
        <v>0</v>
      </c>
      <c r="G527" s="1">
        <f>IF(B527="", "", "mouse")</f>
        <v>0</v>
      </c>
      <c r="H527" s="1">
        <f>IF(B527="", "", "Mus musculus")</f>
        <v>0</v>
      </c>
      <c r="I527" s="1">
        <f>IF(B527="", "", "10090")</f>
        <v>0</v>
      </c>
      <c r="J527" s="2">
        <f>IF(B527="", "", "missing: not provided")</f>
        <v>0</v>
      </c>
      <c r="K527" s="1">
        <f>IF(B527="", "", "g")</f>
        <v>0</v>
      </c>
    </row>
    <row r="528" spans="1:11">
      <c r="A528">
        <f>IF(COUNTBLANK(B528:K528)&lt;&gt;COLUMNS(B528:K528),527,"")</f>
        <v>0</v>
      </c>
      <c r="C528" s="2">
        <f>IF(B528="", "", "missing: not provided")</f>
        <v>0</v>
      </c>
      <c r="D528" s="1">
        <f>IF(B528="", "", "weeks")</f>
        <v>0</v>
      </c>
      <c r="E528" s="1">
        <f>IF(B528="", "", "urban biome")</f>
        <v>0</v>
      </c>
      <c r="F528" s="1">
        <f>IF(B528="", "", "animal-associated habitat")</f>
        <v>0</v>
      </c>
      <c r="G528" s="1">
        <f>IF(B528="", "", "mouse")</f>
        <v>0</v>
      </c>
      <c r="H528" s="1">
        <f>IF(B528="", "", "Mus musculus")</f>
        <v>0</v>
      </c>
      <c r="I528" s="1">
        <f>IF(B528="", "", "10090")</f>
        <v>0</v>
      </c>
      <c r="J528" s="2">
        <f>IF(B528="", "", "missing: not provided")</f>
        <v>0</v>
      </c>
      <c r="K528" s="1">
        <f>IF(B528="", "", "g")</f>
        <v>0</v>
      </c>
    </row>
    <row r="529" spans="1:11">
      <c r="A529">
        <f>IF(COUNTBLANK(B529:K529)&lt;&gt;COLUMNS(B529:K529),528,"")</f>
        <v>0</v>
      </c>
      <c r="C529" s="2">
        <f>IF(B529="", "", "missing: not provided")</f>
        <v>0</v>
      </c>
      <c r="D529" s="1">
        <f>IF(B529="", "", "weeks")</f>
        <v>0</v>
      </c>
      <c r="E529" s="1">
        <f>IF(B529="", "", "urban biome")</f>
        <v>0</v>
      </c>
      <c r="F529" s="1">
        <f>IF(B529="", "", "animal-associated habitat")</f>
        <v>0</v>
      </c>
      <c r="G529" s="1">
        <f>IF(B529="", "", "mouse")</f>
        <v>0</v>
      </c>
      <c r="H529" s="1">
        <f>IF(B529="", "", "Mus musculus")</f>
        <v>0</v>
      </c>
      <c r="I529" s="1">
        <f>IF(B529="", "", "10090")</f>
        <v>0</v>
      </c>
      <c r="J529" s="2">
        <f>IF(B529="", "", "missing: not provided")</f>
        <v>0</v>
      </c>
      <c r="K529" s="1">
        <f>IF(B529="", "", "g")</f>
        <v>0</v>
      </c>
    </row>
    <row r="530" spans="1:11">
      <c r="A530">
        <f>IF(COUNTBLANK(B530:K530)&lt;&gt;COLUMNS(B530:K530),529,"")</f>
        <v>0</v>
      </c>
      <c r="C530" s="2">
        <f>IF(B530="", "", "missing: not provided")</f>
        <v>0</v>
      </c>
      <c r="D530" s="1">
        <f>IF(B530="", "", "weeks")</f>
        <v>0</v>
      </c>
      <c r="E530" s="1">
        <f>IF(B530="", "", "urban biome")</f>
        <v>0</v>
      </c>
      <c r="F530" s="1">
        <f>IF(B530="", "", "animal-associated habitat")</f>
        <v>0</v>
      </c>
      <c r="G530" s="1">
        <f>IF(B530="", "", "mouse")</f>
        <v>0</v>
      </c>
      <c r="H530" s="1">
        <f>IF(B530="", "", "Mus musculus")</f>
        <v>0</v>
      </c>
      <c r="I530" s="1">
        <f>IF(B530="", "", "10090")</f>
        <v>0</v>
      </c>
      <c r="J530" s="2">
        <f>IF(B530="", "", "missing: not provided")</f>
        <v>0</v>
      </c>
      <c r="K530" s="1">
        <f>IF(B530="", "", "g")</f>
        <v>0</v>
      </c>
    </row>
    <row r="531" spans="1:11">
      <c r="A531">
        <f>IF(COUNTBLANK(B531:K531)&lt;&gt;COLUMNS(B531:K531),530,"")</f>
        <v>0</v>
      </c>
      <c r="C531" s="2">
        <f>IF(B531="", "", "missing: not provided")</f>
        <v>0</v>
      </c>
      <c r="D531" s="1">
        <f>IF(B531="", "", "weeks")</f>
        <v>0</v>
      </c>
      <c r="E531" s="1">
        <f>IF(B531="", "", "urban biome")</f>
        <v>0</v>
      </c>
      <c r="F531" s="1">
        <f>IF(B531="", "", "animal-associated habitat")</f>
        <v>0</v>
      </c>
      <c r="G531" s="1">
        <f>IF(B531="", "", "mouse")</f>
        <v>0</v>
      </c>
      <c r="H531" s="1">
        <f>IF(B531="", "", "Mus musculus")</f>
        <v>0</v>
      </c>
      <c r="I531" s="1">
        <f>IF(B531="", "", "10090")</f>
        <v>0</v>
      </c>
      <c r="J531" s="2">
        <f>IF(B531="", "", "missing: not provided")</f>
        <v>0</v>
      </c>
      <c r="K531" s="1">
        <f>IF(B531="", "", "g")</f>
        <v>0</v>
      </c>
    </row>
    <row r="532" spans="1:11">
      <c r="A532">
        <f>IF(COUNTBLANK(B532:K532)&lt;&gt;COLUMNS(B532:K532),531,"")</f>
        <v>0</v>
      </c>
      <c r="C532" s="2">
        <f>IF(B532="", "", "missing: not provided")</f>
        <v>0</v>
      </c>
      <c r="D532" s="1">
        <f>IF(B532="", "", "weeks")</f>
        <v>0</v>
      </c>
      <c r="E532" s="1">
        <f>IF(B532="", "", "urban biome")</f>
        <v>0</v>
      </c>
      <c r="F532" s="1">
        <f>IF(B532="", "", "animal-associated habitat")</f>
        <v>0</v>
      </c>
      <c r="G532" s="1">
        <f>IF(B532="", "", "mouse")</f>
        <v>0</v>
      </c>
      <c r="H532" s="1">
        <f>IF(B532="", "", "Mus musculus")</f>
        <v>0</v>
      </c>
      <c r="I532" s="1">
        <f>IF(B532="", "", "10090")</f>
        <v>0</v>
      </c>
      <c r="J532" s="2">
        <f>IF(B532="", "", "missing: not provided")</f>
        <v>0</v>
      </c>
      <c r="K532" s="1">
        <f>IF(B532="", "", "g")</f>
        <v>0</v>
      </c>
    </row>
    <row r="533" spans="1:11">
      <c r="A533">
        <f>IF(COUNTBLANK(B533:K533)&lt;&gt;COLUMNS(B533:K533),532,"")</f>
        <v>0</v>
      </c>
      <c r="C533" s="2">
        <f>IF(B533="", "", "missing: not provided")</f>
        <v>0</v>
      </c>
      <c r="D533" s="1">
        <f>IF(B533="", "", "weeks")</f>
        <v>0</v>
      </c>
      <c r="E533" s="1">
        <f>IF(B533="", "", "urban biome")</f>
        <v>0</v>
      </c>
      <c r="F533" s="1">
        <f>IF(B533="", "", "animal-associated habitat")</f>
        <v>0</v>
      </c>
      <c r="G533" s="1">
        <f>IF(B533="", "", "mouse")</f>
        <v>0</v>
      </c>
      <c r="H533" s="1">
        <f>IF(B533="", "", "Mus musculus")</f>
        <v>0</v>
      </c>
      <c r="I533" s="1">
        <f>IF(B533="", "", "10090")</f>
        <v>0</v>
      </c>
      <c r="J533" s="2">
        <f>IF(B533="", "", "missing: not provided")</f>
        <v>0</v>
      </c>
      <c r="K533" s="1">
        <f>IF(B533="", "", "g")</f>
        <v>0</v>
      </c>
    </row>
    <row r="534" spans="1:11">
      <c r="A534">
        <f>IF(COUNTBLANK(B534:K534)&lt;&gt;COLUMNS(B534:K534),533,"")</f>
        <v>0</v>
      </c>
      <c r="C534" s="2">
        <f>IF(B534="", "", "missing: not provided")</f>
        <v>0</v>
      </c>
      <c r="D534" s="1">
        <f>IF(B534="", "", "weeks")</f>
        <v>0</v>
      </c>
      <c r="E534" s="1">
        <f>IF(B534="", "", "urban biome")</f>
        <v>0</v>
      </c>
      <c r="F534" s="1">
        <f>IF(B534="", "", "animal-associated habitat")</f>
        <v>0</v>
      </c>
      <c r="G534" s="1">
        <f>IF(B534="", "", "mouse")</f>
        <v>0</v>
      </c>
      <c r="H534" s="1">
        <f>IF(B534="", "", "Mus musculus")</f>
        <v>0</v>
      </c>
      <c r="I534" s="1">
        <f>IF(B534="", "", "10090")</f>
        <v>0</v>
      </c>
      <c r="J534" s="2">
        <f>IF(B534="", "", "missing: not provided")</f>
        <v>0</v>
      </c>
      <c r="K534" s="1">
        <f>IF(B534="", "", "g")</f>
        <v>0</v>
      </c>
    </row>
    <row r="535" spans="1:11">
      <c r="A535">
        <f>IF(COUNTBLANK(B535:K535)&lt;&gt;COLUMNS(B535:K535),534,"")</f>
        <v>0</v>
      </c>
      <c r="C535" s="2">
        <f>IF(B535="", "", "missing: not provided")</f>
        <v>0</v>
      </c>
      <c r="D535" s="1">
        <f>IF(B535="", "", "weeks")</f>
        <v>0</v>
      </c>
      <c r="E535" s="1">
        <f>IF(B535="", "", "urban biome")</f>
        <v>0</v>
      </c>
      <c r="F535" s="1">
        <f>IF(B535="", "", "animal-associated habitat")</f>
        <v>0</v>
      </c>
      <c r="G535" s="1">
        <f>IF(B535="", "", "mouse")</f>
        <v>0</v>
      </c>
      <c r="H535" s="1">
        <f>IF(B535="", "", "Mus musculus")</f>
        <v>0</v>
      </c>
      <c r="I535" s="1">
        <f>IF(B535="", "", "10090")</f>
        <v>0</v>
      </c>
      <c r="J535" s="2">
        <f>IF(B535="", "", "missing: not provided")</f>
        <v>0</v>
      </c>
      <c r="K535" s="1">
        <f>IF(B535="", "", "g")</f>
        <v>0</v>
      </c>
    </row>
    <row r="536" spans="1:11">
      <c r="A536">
        <f>IF(COUNTBLANK(B536:K536)&lt;&gt;COLUMNS(B536:K536),535,"")</f>
        <v>0</v>
      </c>
      <c r="C536" s="2">
        <f>IF(B536="", "", "missing: not provided")</f>
        <v>0</v>
      </c>
      <c r="D536" s="1">
        <f>IF(B536="", "", "weeks")</f>
        <v>0</v>
      </c>
      <c r="E536" s="1">
        <f>IF(B536="", "", "urban biome")</f>
        <v>0</v>
      </c>
      <c r="F536" s="1">
        <f>IF(B536="", "", "animal-associated habitat")</f>
        <v>0</v>
      </c>
      <c r="G536" s="1">
        <f>IF(B536="", "", "mouse")</f>
        <v>0</v>
      </c>
      <c r="H536" s="1">
        <f>IF(B536="", "", "Mus musculus")</f>
        <v>0</v>
      </c>
      <c r="I536" s="1">
        <f>IF(B536="", "", "10090")</f>
        <v>0</v>
      </c>
      <c r="J536" s="2">
        <f>IF(B536="", "", "missing: not provided")</f>
        <v>0</v>
      </c>
      <c r="K536" s="1">
        <f>IF(B536="", "", "g")</f>
        <v>0</v>
      </c>
    </row>
    <row r="537" spans="1:11">
      <c r="A537">
        <f>IF(COUNTBLANK(B537:K537)&lt;&gt;COLUMNS(B537:K537),536,"")</f>
        <v>0</v>
      </c>
      <c r="C537" s="2">
        <f>IF(B537="", "", "missing: not provided")</f>
        <v>0</v>
      </c>
      <c r="D537" s="1">
        <f>IF(B537="", "", "weeks")</f>
        <v>0</v>
      </c>
      <c r="E537" s="1">
        <f>IF(B537="", "", "urban biome")</f>
        <v>0</v>
      </c>
      <c r="F537" s="1">
        <f>IF(B537="", "", "animal-associated habitat")</f>
        <v>0</v>
      </c>
      <c r="G537" s="1">
        <f>IF(B537="", "", "mouse")</f>
        <v>0</v>
      </c>
      <c r="H537" s="1">
        <f>IF(B537="", "", "Mus musculus")</f>
        <v>0</v>
      </c>
      <c r="I537" s="1">
        <f>IF(B537="", "", "10090")</f>
        <v>0</v>
      </c>
      <c r="J537" s="2">
        <f>IF(B537="", "", "missing: not provided")</f>
        <v>0</v>
      </c>
      <c r="K537" s="1">
        <f>IF(B537="", "", "g")</f>
        <v>0</v>
      </c>
    </row>
    <row r="538" spans="1:11">
      <c r="A538">
        <f>IF(COUNTBLANK(B538:K538)&lt;&gt;COLUMNS(B538:K538),537,"")</f>
        <v>0</v>
      </c>
      <c r="C538" s="2">
        <f>IF(B538="", "", "missing: not provided")</f>
        <v>0</v>
      </c>
      <c r="D538" s="1">
        <f>IF(B538="", "", "weeks")</f>
        <v>0</v>
      </c>
      <c r="E538" s="1">
        <f>IF(B538="", "", "urban biome")</f>
        <v>0</v>
      </c>
      <c r="F538" s="1">
        <f>IF(B538="", "", "animal-associated habitat")</f>
        <v>0</v>
      </c>
      <c r="G538" s="1">
        <f>IF(B538="", "", "mouse")</f>
        <v>0</v>
      </c>
      <c r="H538" s="1">
        <f>IF(B538="", "", "Mus musculus")</f>
        <v>0</v>
      </c>
      <c r="I538" s="1">
        <f>IF(B538="", "", "10090")</f>
        <v>0</v>
      </c>
      <c r="J538" s="2">
        <f>IF(B538="", "", "missing: not provided")</f>
        <v>0</v>
      </c>
      <c r="K538" s="1">
        <f>IF(B538="", "", "g")</f>
        <v>0</v>
      </c>
    </row>
    <row r="539" spans="1:11">
      <c r="A539">
        <f>IF(COUNTBLANK(B539:K539)&lt;&gt;COLUMNS(B539:K539),538,"")</f>
        <v>0</v>
      </c>
      <c r="C539" s="2">
        <f>IF(B539="", "", "missing: not provided")</f>
        <v>0</v>
      </c>
      <c r="D539" s="1">
        <f>IF(B539="", "", "weeks")</f>
        <v>0</v>
      </c>
      <c r="E539" s="1">
        <f>IF(B539="", "", "urban biome")</f>
        <v>0</v>
      </c>
      <c r="F539" s="1">
        <f>IF(B539="", "", "animal-associated habitat")</f>
        <v>0</v>
      </c>
      <c r="G539" s="1">
        <f>IF(B539="", "", "mouse")</f>
        <v>0</v>
      </c>
      <c r="H539" s="1">
        <f>IF(B539="", "", "Mus musculus")</f>
        <v>0</v>
      </c>
      <c r="I539" s="1">
        <f>IF(B539="", "", "10090")</f>
        <v>0</v>
      </c>
      <c r="J539" s="2">
        <f>IF(B539="", "", "missing: not provided")</f>
        <v>0</v>
      </c>
      <c r="K539" s="1">
        <f>IF(B539="", "", "g")</f>
        <v>0</v>
      </c>
    </row>
    <row r="540" spans="1:11">
      <c r="A540">
        <f>IF(COUNTBLANK(B540:K540)&lt;&gt;COLUMNS(B540:K540),539,"")</f>
        <v>0</v>
      </c>
      <c r="C540" s="2">
        <f>IF(B540="", "", "missing: not provided")</f>
        <v>0</v>
      </c>
      <c r="D540" s="1">
        <f>IF(B540="", "", "weeks")</f>
        <v>0</v>
      </c>
      <c r="E540" s="1">
        <f>IF(B540="", "", "urban biome")</f>
        <v>0</v>
      </c>
      <c r="F540" s="1">
        <f>IF(B540="", "", "animal-associated habitat")</f>
        <v>0</v>
      </c>
      <c r="G540" s="1">
        <f>IF(B540="", "", "mouse")</f>
        <v>0</v>
      </c>
      <c r="H540" s="1">
        <f>IF(B540="", "", "Mus musculus")</f>
        <v>0</v>
      </c>
      <c r="I540" s="1">
        <f>IF(B540="", "", "10090")</f>
        <v>0</v>
      </c>
      <c r="J540" s="2">
        <f>IF(B540="", "", "missing: not provided")</f>
        <v>0</v>
      </c>
      <c r="K540" s="1">
        <f>IF(B540="", "", "g")</f>
        <v>0</v>
      </c>
    </row>
    <row r="541" spans="1:11">
      <c r="A541">
        <f>IF(COUNTBLANK(B541:K541)&lt;&gt;COLUMNS(B541:K541),540,"")</f>
        <v>0</v>
      </c>
      <c r="C541" s="2">
        <f>IF(B541="", "", "missing: not provided")</f>
        <v>0</v>
      </c>
      <c r="D541" s="1">
        <f>IF(B541="", "", "weeks")</f>
        <v>0</v>
      </c>
      <c r="E541" s="1">
        <f>IF(B541="", "", "urban biome")</f>
        <v>0</v>
      </c>
      <c r="F541" s="1">
        <f>IF(B541="", "", "animal-associated habitat")</f>
        <v>0</v>
      </c>
      <c r="G541" s="1">
        <f>IF(B541="", "", "mouse")</f>
        <v>0</v>
      </c>
      <c r="H541" s="1">
        <f>IF(B541="", "", "Mus musculus")</f>
        <v>0</v>
      </c>
      <c r="I541" s="1">
        <f>IF(B541="", "", "10090")</f>
        <v>0</v>
      </c>
      <c r="J541" s="2">
        <f>IF(B541="", "", "missing: not provided")</f>
        <v>0</v>
      </c>
      <c r="K541" s="1">
        <f>IF(B541="", "", "g")</f>
        <v>0</v>
      </c>
    </row>
    <row r="542" spans="1:11">
      <c r="A542">
        <f>IF(COUNTBLANK(B542:K542)&lt;&gt;COLUMNS(B542:K542),541,"")</f>
        <v>0</v>
      </c>
      <c r="C542" s="2">
        <f>IF(B542="", "", "missing: not provided")</f>
        <v>0</v>
      </c>
      <c r="D542" s="1">
        <f>IF(B542="", "", "weeks")</f>
        <v>0</v>
      </c>
      <c r="E542" s="1">
        <f>IF(B542="", "", "urban biome")</f>
        <v>0</v>
      </c>
      <c r="F542" s="1">
        <f>IF(B542="", "", "animal-associated habitat")</f>
        <v>0</v>
      </c>
      <c r="G542" s="1">
        <f>IF(B542="", "", "mouse")</f>
        <v>0</v>
      </c>
      <c r="H542" s="1">
        <f>IF(B542="", "", "Mus musculus")</f>
        <v>0</v>
      </c>
      <c r="I542" s="1">
        <f>IF(B542="", "", "10090")</f>
        <v>0</v>
      </c>
      <c r="J542" s="2">
        <f>IF(B542="", "", "missing: not provided")</f>
        <v>0</v>
      </c>
      <c r="K542" s="1">
        <f>IF(B542="", "", "g")</f>
        <v>0</v>
      </c>
    </row>
    <row r="543" spans="1:11">
      <c r="A543">
        <f>IF(COUNTBLANK(B543:K543)&lt;&gt;COLUMNS(B543:K543),542,"")</f>
        <v>0</v>
      </c>
      <c r="C543" s="2">
        <f>IF(B543="", "", "missing: not provided")</f>
        <v>0</v>
      </c>
      <c r="D543" s="1">
        <f>IF(B543="", "", "weeks")</f>
        <v>0</v>
      </c>
      <c r="E543" s="1">
        <f>IF(B543="", "", "urban biome")</f>
        <v>0</v>
      </c>
      <c r="F543" s="1">
        <f>IF(B543="", "", "animal-associated habitat")</f>
        <v>0</v>
      </c>
      <c r="G543" s="1">
        <f>IF(B543="", "", "mouse")</f>
        <v>0</v>
      </c>
      <c r="H543" s="1">
        <f>IF(B543="", "", "Mus musculus")</f>
        <v>0</v>
      </c>
      <c r="I543" s="1">
        <f>IF(B543="", "", "10090")</f>
        <v>0</v>
      </c>
      <c r="J543" s="2">
        <f>IF(B543="", "", "missing: not provided")</f>
        <v>0</v>
      </c>
      <c r="K543" s="1">
        <f>IF(B543="", "", "g")</f>
        <v>0</v>
      </c>
    </row>
    <row r="544" spans="1:11">
      <c r="A544">
        <f>IF(COUNTBLANK(B544:K544)&lt;&gt;COLUMNS(B544:K544),543,"")</f>
        <v>0</v>
      </c>
      <c r="C544" s="2">
        <f>IF(B544="", "", "missing: not provided")</f>
        <v>0</v>
      </c>
      <c r="D544" s="1">
        <f>IF(B544="", "", "weeks")</f>
        <v>0</v>
      </c>
      <c r="E544" s="1">
        <f>IF(B544="", "", "urban biome")</f>
        <v>0</v>
      </c>
      <c r="F544" s="1">
        <f>IF(B544="", "", "animal-associated habitat")</f>
        <v>0</v>
      </c>
      <c r="G544" s="1">
        <f>IF(B544="", "", "mouse")</f>
        <v>0</v>
      </c>
      <c r="H544" s="1">
        <f>IF(B544="", "", "Mus musculus")</f>
        <v>0</v>
      </c>
      <c r="I544" s="1">
        <f>IF(B544="", "", "10090")</f>
        <v>0</v>
      </c>
      <c r="J544" s="2">
        <f>IF(B544="", "", "missing: not provided")</f>
        <v>0</v>
      </c>
      <c r="K544" s="1">
        <f>IF(B544="", "", "g")</f>
        <v>0</v>
      </c>
    </row>
    <row r="545" spans="1:11">
      <c r="A545">
        <f>IF(COUNTBLANK(B545:K545)&lt;&gt;COLUMNS(B545:K545),544,"")</f>
        <v>0</v>
      </c>
      <c r="C545" s="2">
        <f>IF(B545="", "", "missing: not provided")</f>
        <v>0</v>
      </c>
      <c r="D545" s="1">
        <f>IF(B545="", "", "weeks")</f>
        <v>0</v>
      </c>
      <c r="E545" s="1">
        <f>IF(B545="", "", "urban biome")</f>
        <v>0</v>
      </c>
      <c r="F545" s="1">
        <f>IF(B545="", "", "animal-associated habitat")</f>
        <v>0</v>
      </c>
      <c r="G545" s="1">
        <f>IF(B545="", "", "mouse")</f>
        <v>0</v>
      </c>
      <c r="H545" s="1">
        <f>IF(B545="", "", "Mus musculus")</f>
        <v>0</v>
      </c>
      <c r="I545" s="1">
        <f>IF(B545="", "", "10090")</f>
        <v>0</v>
      </c>
      <c r="J545" s="2">
        <f>IF(B545="", "", "missing: not provided")</f>
        <v>0</v>
      </c>
      <c r="K545" s="1">
        <f>IF(B545="", "", "g")</f>
        <v>0</v>
      </c>
    </row>
    <row r="546" spans="1:11">
      <c r="A546">
        <f>IF(COUNTBLANK(B546:K546)&lt;&gt;COLUMNS(B546:K546),545,"")</f>
        <v>0</v>
      </c>
      <c r="C546" s="2">
        <f>IF(B546="", "", "missing: not provided")</f>
        <v>0</v>
      </c>
      <c r="D546" s="1">
        <f>IF(B546="", "", "weeks")</f>
        <v>0</v>
      </c>
      <c r="E546" s="1">
        <f>IF(B546="", "", "urban biome")</f>
        <v>0</v>
      </c>
      <c r="F546" s="1">
        <f>IF(B546="", "", "animal-associated habitat")</f>
        <v>0</v>
      </c>
      <c r="G546" s="1">
        <f>IF(B546="", "", "mouse")</f>
        <v>0</v>
      </c>
      <c r="H546" s="1">
        <f>IF(B546="", "", "Mus musculus")</f>
        <v>0</v>
      </c>
      <c r="I546" s="1">
        <f>IF(B546="", "", "10090")</f>
        <v>0</v>
      </c>
      <c r="J546" s="2">
        <f>IF(B546="", "", "missing: not provided")</f>
        <v>0</v>
      </c>
      <c r="K546" s="1">
        <f>IF(B546="", "", "g")</f>
        <v>0</v>
      </c>
    </row>
    <row r="547" spans="1:11">
      <c r="A547">
        <f>IF(COUNTBLANK(B547:K547)&lt;&gt;COLUMNS(B547:K547),546,"")</f>
        <v>0</v>
      </c>
      <c r="C547" s="2">
        <f>IF(B547="", "", "missing: not provided")</f>
        <v>0</v>
      </c>
      <c r="D547" s="1">
        <f>IF(B547="", "", "weeks")</f>
        <v>0</v>
      </c>
      <c r="E547" s="1">
        <f>IF(B547="", "", "urban biome")</f>
        <v>0</v>
      </c>
      <c r="F547" s="1">
        <f>IF(B547="", "", "animal-associated habitat")</f>
        <v>0</v>
      </c>
      <c r="G547" s="1">
        <f>IF(B547="", "", "mouse")</f>
        <v>0</v>
      </c>
      <c r="H547" s="1">
        <f>IF(B547="", "", "Mus musculus")</f>
        <v>0</v>
      </c>
      <c r="I547" s="1">
        <f>IF(B547="", "", "10090")</f>
        <v>0</v>
      </c>
      <c r="J547" s="2">
        <f>IF(B547="", "", "missing: not provided")</f>
        <v>0</v>
      </c>
      <c r="K547" s="1">
        <f>IF(B547="", "", "g")</f>
        <v>0</v>
      </c>
    </row>
    <row r="548" spans="1:11">
      <c r="A548">
        <f>IF(COUNTBLANK(B548:K548)&lt;&gt;COLUMNS(B548:K548),547,"")</f>
        <v>0</v>
      </c>
      <c r="C548" s="2">
        <f>IF(B548="", "", "missing: not provided")</f>
        <v>0</v>
      </c>
      <c r="D548" s="1">
        <f>IF(B548="", "", "weeks")</f>
        <v>0</v>
      </c>
      <c r="E548" s="1">
        <f>IF(B548="", "", "urban biome")</f>
        <v>0</v>
      </c>
      <c r="F548" s="1">
        <f>IF(B548="", "", "animal-associated habitat")</f>
        <v>0</v>
      </c>
      <c r="G548" s="1">
        <f>IF(B548="", "", "mouse")</f>
        <v>0</v>
      </c>
      <c r="H548" s="1">
        <f>IF(B548="", "", "Mus musculus")</f>
        <v>0</v>
      </c>
      <c r="I548" s="1">
        <f>IF(B548="", "", "10090")</f>
        <v>0</v>
      </c>
      <c r="J548" s="2">
        <f>IF(B548="", "", "missing: not provided")</f>
        <v>0</v>
      </c>
      <c r="K548" s="1">
        <f>IF(B548="", "", "g")</f>
        <v>0</v>
      </c>
    </row>
    <row r="549" spans="1:11">
      <c r="A549">
        <f>IF(COUNTBLANK(B549:K549)&lt;&gt;COLUMNS(B549:K549),548,"")</f>
        <v>0</v>
      </c>
      <c r="C549" s="2">
        <f>IF(B549="", "", "missing: not provided")</f>
        <v>0</v>
      </c>
      <c r="D549" s="1">
        <f>IF(B549="", "", "weeks")</f>
        <v>0</v>
      </c>
      <c r="E549" s="1">
        <f>IF(B549="", "", "urban biome")</f>
        <v>0</v>
      </c>
      <c r="F549" s="1">
        <f>IF(B549="", "", "animal-associated habitat")</f>
        <v>0</v>
      </c>
      <c r="G549" s="1">
        <f>IF(B549="", "", "mouse")</f>
        <v>0</v>
      </c>
      <c r="H549" s="1">
        <f>IF(B549="", "", "Mus musculus")</f>
        <v>0</v>
      </c>
      <c r="I549" s="1">
        <f>IF(B549="", "", "10090")</f>
        <v>0</v>
      </c>
      <c r="J549" s="2">
        <f>IF(B549="", "", "missing: not provided")</f>
        <v>0</v>
      </c>
      <c r="K549" s="1">
        <f>IF(B549="", "", "g")</f>
        <v>0</v>
      </c>
    </row>
    <row r="550" spans="1:11">
      <c r="A550">
        <f>IF(COUNTBLANK(B550:K550)&lt;&gt;COLUMNS(B550:K550),549,"")</f>
        <v>0</v>
      </c>
      <c r="C550" s="2">
        <f>IF(B550="", "", "missing: not provided")</f>
        <v>0</v>
      </c>
      <c r="D550" s="1">
        <f>IF(B550="", "", "weeks")</f>
        <v>0</v>
      </c>
      <c r="E550" s="1">
        <f>IF(B550="", "", "urban biome")</f>
        <v>0</v>
      </c>
      <c r="F550" s="1">
        <f>IF(B550="", "", "animal-associated habitat")</f>
        <v>0</v>
      </c>
      <c r="G550" s="1">
        <f>IF(B550="", "", "mouse")</f>
        <v>0</v>
      </c>
      <c r="H550" s="1">
        <f>IF(B550="", "", "Mus musculus")</f>
        <v>0</v>
      </c>
      <c r="I550" s="1">
        <f>IF(B550="", "", "10090")</f>
        <v>0</v>
      </c>
      <c r="J550" s="2">
        <f>IF(B550="", "", "missing: not provided")</f>
        <v>0</v>
      </c>
      <c r="K550" s="1">
        <f>IF(B550="", "", "g")</f>
        <v>0</v>
      </c>
    </row>
    <row r="551" spans="1:11">
      <c r="A551">
        <f>IF(COUNTBLANK(B551:K551)&lt;&gt;COLUMNS(B551:K551),550,"")</f>
        <v>0</v>
      </c>
      <c r="C551" s="2">
        <f>IF(B551="", "", "missing: not provided")</f>
        <v>0</v>
      </c>
      <c r="D551" s="1">
        <f>IF(B551="", "", "weeks")</f>
        <v>0</v>
      </c>
      <c r="E551" s="1">
        <f>IF(B551="", "", "urban biome")</f>
        <v>0</v>
      </c>
      <c r="F551" s="1">
        <f>IF(B551="", "", "animal-associated habitat")</f>
        <v>0</v>
      </c>
      <c r="G551" s="1">
        <f>IF(B551="", "", "mouse")</f>
        <v>0</v>
      </c>
      <c r="H551" s="1">
        <f>IF(B551="", "", "Mus musculus")</f>
        <v>0</v>
      </c>
      <c r="I551" s="1">
        <f>IF(B551="", "", "10090")</f>
        <v>0</v>
      </c>
      <c r="J551" s="2">
        <f>IF(B551="", "", "missing: not provided")</f>
        <v>0</v>
      </c>
      <c r="K551" s="1">
        <f>IF(B551="", "", "g")</f>
        <v>0</v>
      </c>
    </row>
    <row r="552" spans="1:11">
      <c r="A552">
        <f>IF(COUNTBLANK(B552:K552)&lt;&gt;COLUMNS(B552:K552),551,"")</f>
        <v>0</v>
      </c>
      <c r="C552" s="2">
        <f>IF(B552="", "", "missing: not provided")</f>
        <v>0</v>
      </c>
      <c r="D552" s="1">
        <f>IF(B552="", "", "weeks")</f>
        <v>0</v>
      </c>
      <c r="E552" s="1">
        <f>IF(B552="", "", "urban biome")</f>
        <v>0</v>
      </c>
      <c r="F552" s="1">
        <f>IF(B552="", "", "animal-associated habitat")</f>
        <v>0</v>
      </c>
      <c r="G552" s="1">
        <f>IF(B552="", "", "mouse")</f>
        <v>0</v>
      </c>
      <c r="H552" s="1">
        <f>IF(B552="", "", "Mus musculus")</f>
        <v>0</v>
      </c>
      <c r="I552" s="1">
        <f>IF(B552="", "", "10090")</f>
        <v>0</v>
      </c>
      <c r="J552" s="2">
        <f>IF(B552="", "", "missing: not provided")</f>
        <v>0</v>
      </c>
      <c r="K552" s="1">
        <f>IF(B552="", "", "g")</f>
        <v>0</v>
      </c>
    </row>
    <row r="553" spans="1:11">
      <c r="A553">
        <f>IF(COUNTBLANK(B553:K553)&lt;&gt;COLUMNS(B553:K553),552,"")</f>
        <v>0</v>
      </c>
      <c r="C553" s="2">
        <f>IF(B553="", "", "missing: not provided")</f>
        <v>0</v>
      </c>
      <c r="D553" s="1">
        <f>IF(B553="", "", "weeks")</f>
        <v>0</v>
      </c>
      <c r="E553" s="1">
        <f>IF(B553="", "", "urban biome")</f>
        <v>0</v>
      </c>
      <c r="F553" s="1">
        <f>IF(B553="", "", "animal-associated habitat")</f>
        <v>0</v>
      </c>
      <c r="G553" s="1">
        <f>IF(B553="", "", "mouse")</f>
        <v>0</v>
      </c>
      <c r="H553" s="1">
        <f>IF(B553="", "", "Mus musculus")</f>
        <v>0</v>
      </c>
      <c r="I553" s="1">
        <f>IF(B553="", "", "10090")</f>
        <v>0</v>
      </c>
      <c r="J553" s="2">
        <f>IF(B553="", "", "missing: not provided")</f>
        <v>0</v>
      </c>
      <c r="K553" s="1">
        <f>IF(B553="", "", "g")</f>
        <v>0</v>
      </c>
    </row>
    <row r="554" spans="1:11">
      <c r="A554">
        <f>IF(COUNTBLANK(B554:K554)&lt;&gt;COLUMNS(B554:K554),553,"")</f>
        <v>0</v>
      </c>
      <c r="C554" s="2">
        <f>IF(B554="", "", "missing: not provided")</f>
        <v>0</v>
      </c>
      <c r="D554" s="1">
        <f>IF(B554="", "", "weeks")</f>
        <v>0</v>
      </c>
      <c r="E554" s="1">
        <f>IF(B554="", "", "urban biome")</f>
        <v>0</v>
      </c>
      <c r="F554" s="1">
        <f>IF(B554="", "", "animal-associated habitat")</f>
        <v>0</v>
      </c>
      <c r="G554" s="1">
        <f>IF(B554="", "", "mouse")</f>
        <v>0</v>
      </c>
      <c r="H554" s="1">
        <f>IF(B554="", "", "Mus musculus")</f>
        <v>0</v>
      </c>
      <c r="I554" s="1">
        <f>IF(B554="", "", "10090")</f>
        <v>0</v>
      </c>
      <c r="J554" s="2">
        <f>IF(B554="", "", "missing: not provided")</f>
        <v>0</v>
      </c>
      <c r="K554" s="1">
        <f>IF(B554="", "", "g")</f>
        <v>0</v>
      </c>
    </row>
    <row r="555" spans="1:11">
      <c r="A555">
        <f>IF(COUNTBLANK(B555:K555)&lt;&gt;COLUMNS(B555:K555),554,"")</f>
        <v>0</v>
      </c>
      <c r="C555" s="2">
        <f>IF(B555="", "", "missing: not provided")</f>
        <v>0</v>
      </c>
      <c r="D555" s="1">
        <f>IF(B555="", "", "weeks")</f>
        <v>0</v>
      </c>
      <c r="E555" s="1">
        <f>IF(B555="", "", "urban biome")</f>
        <v>0</v>
      </c>
      <c r="F555" s="1">
        <f>IF(B555="", "", "animal-associated habitat")</f>
        <v>0</v>
      </c>
      <c r="G555" s="1">
        <f>IF(B555="", "", "mouse")</f>
        <v>0</v>
      </c>
      <c r="H555" s="1">
        <f>IF(B555="", "", "Mus musculus")</f>
        <v>0</v>
      </c>
      <c r="I555" s="1">
        <f>IF(B555="", "", "10090")</f>
        <v>0</v>
      </c>
      <c r="J555" s="2">
        <f>IF(B555="", "", "missing: not provided")</f>
        <v>0</v>
      </c>
      <c r="K555" s="1">
        <f>IF(B555="", "", "g")</f>
        <v>0</v>
      </c>
    </row>
    <row r="556" spans="1:11">
      <c r="A556">
        <f>IF(COUNTBLANK(B556:K556)&lt;&gt;COLUMNS(B556:K556),555,"")</f>
        <v>0</v>
      </c>
      <c r="C556" s="2">
        <f>IF(B556="", "", "missing: not provided")</f>
        <v>0</v>
      </c>
      <c r="D556" s="1">
        <f>IF(B556="", "", "weeks")</f>
        <v>0</v>
      </c>
      <c r="E556" s="1">
        <f>IF(B556="", "", "urban biome")</f>
        <v>0</v>
      </c>
      <c r="F556" s="1">
        <f>IF(B556="", "", "animal-associated habitat")</f>
        <v>0</v>
      </c>
      <c r="G556" s="1">
        <f>IF(B556="", "", "mouse")</f>
        <v>0</v>
      </c>
      <c r="H556" s="1">
        <f>IF(B556="", "", "Mus musculus")</f>
        <v>0</v>
      </c>
      <c r="I556" s="1">
        <f>IF(B556="", "", "10090")</f>
        <v>0</v>
      </c>
      <c r="J556" s="2">
        <f>IF(B556="", "", "missing: not provided")</f>
        <v>0</v>
      </c>
      <c r="K556" s="1">
        <f>IF(B556="", "", "g")</f>
        <v>0</v>
      </c>
    </row>
    <row r="557" spans="1:11">
      <c r="A557">
        <f>IF(COUNTBLANK(B557:K557)&lt;&gt;COLUMNS(B557:K557),556,"")</f>
        <v>0</v>
      </c>
      <c r="C557" s="2">
        <f>IF(B557="", "", "missing: not provided")</f>
        <v>0</v>
      </c>
      <c r="D557" s="1">
        <f>IF(B557="", "", "weeks")</f>
        <v>0</v>
      </c>
      <c r="E557" s="1">
        <f>IF(B557="", "", "urban biome")</f>
        <v>0</v>
      </c>
      <c r="F557" s="1">
        <f>IF(B557="", "", "animal-associated habitat")</f>
        <v>0</v>
      </c>
      <c r="G557" s="1">
        <f>IF(B557="", "", "mouse")</f>
        <v>0</v>
      </c>
      <c r="H557" s="1">
        <f>IF(B557="", "", "Mus musculus")</f>
        <v>0</v>
      </c>
      <c r="I557" s="1">
        <f>IF(B557="", "", "10090")</f>
        <v>0</v>
      </c>
      <c r="J557" s="2">
        <f>IF(B557="", "", "missing: not provided")</f>
        <v>0</v>
      </c>
      <c r="K557" s="1">
        <f>IF(B557="", "", "g")</f>
        <v>0</v>
      </c>
    </row>
    <row r="558" spans="1:11">
      <c r="A558">
        <f>IF(COUNTBLANK(B558:K558)&lt;&gt;COLUMNS(B558:K558),557,"")</f>
        <v>0</v>
      </c>
      <c r="C558" s="2">
        <f>IF(B558="", "", "missing: not provided")</f>
        <v>0</v>
      </c>
      <c r="D558" s="1">
        <f>IF(B558="", "", "weeks")</f>
        <v>0</v>
      </c>
      <c r="E558" s="1">
        <f>IF(B558="", "", "urban biome")</f>
        <v>0</v>
      </c>
      <c r="F558" s="1">
        <f>IF(B558="", "", "animal-associated habitat")</f>
        <v>0</v>
      </c>
      <c r="G558" s="1">
        <f>IF(B558="", "", "mouse")</f>
        <v>0</v>
      </c>
      <c r="H558" s="1">
        <f>IF(B558="", "", "Mus musculus")</f>
        <v>0</v>
      </c>
      <c r="I558" s="1">
        <f>IF(B558="", "", "10090")</f>
        <v>0</v>
      </c>
      <c r="J558" s="2">
        <f>IF(B558="", "", "missing: not provided")</f>
        <v>0</v>
      </c>
      <c r="K558" s="1">
        <f>IF(B558="", "", "g")</f>
        <v>0</v>
      </c>
    </row>
    <row r="559" spans="1:11">
      <c r="A559">
        <f>IF(COUNTBLANK(B559:K559)&lt;&gt;COLUMNS(B559:K559),558,"")</f>
        <v>0</v>
      </c>
      <c r="C559" s="2">
        <f>IF(B559="", "", "missing: not provided")</f>
        <v>0</v>
      </c>
      <c r="D559" s="1">
        <f>IF(B559="", "", "weeks")</f>
        <v>0</v>
      </c>
      <c r="E559" s="1">
        <f>IF(B559="", "", "urban biome")</f>
        <v>0</v>
      </c>
      <c r="F559" s="1">
        <f>IF(B559="", "", "animal-associated habitat")</f>
        <v>0</v>
      </c>
      <c r="G559" s="1">
        <f>IF(B559="", "", "mouse")</f>
        <v>0</v>
      </c>
      <c r="H559" s="1">
        <f>IF(B559="", "", "Mus musculus")</f>
        <v>0</v>
      </c>
      <c r="I559" s="1">
        <f>IF(B559="", "", "10090")</f>
        <v>0</v>
      </c>
      <c r="J559" s="2">
        <f>IF(B559="", "", "missing: not provided")</f>
        <v>0</v>
      </c>
      <c r="K559" s="1">
        <f>IF(B559="", "", "g")</f>
        <v>0</v>
      </c>
    </row>
    <row r="560" spans="1:11">
      <c r="A560">
        <f>IF(COUNTBLANK(B560:K560)&lt;&gt;COLUMNS(B560:K560),559,"")</f>
        <v>0</v>
      </c>
      <c r="C560" s="2">
        <f>IF(B560="", "", "missing: not provided")</f>
        <v>0</v>
      </c>
      <c r="D560" s="1">
        <f>IF(B560="", "", "weeks")</f>
        <v>0</v>
      </c>
      <c r="E560" s="1">
        <f>IF(B560="", "", "urban biome")</f>
        <v>0</v>
      </c>
      <c r="F560" s="1">
        <f>IF(B560="", "", "animal-associated habitat")</f>
        <v>0</v>
      </c>
      <c r="G560" s="1">
        <f>IF(B560="", "", "mouse")</f>
        <v>0</v>
      </c>
      <c r="H560" s="1">
        <f>IF(B560="", "", "Mus musculus")</f>
        <v>0</v>
      </c>
      <c r="I560" s="1">
        <f>IF(B560="", "", "10090")</f>
        <v>0</v>
      </c>
      <c r="J560" s="2">
        <f>IF(B560="", "", "missing: not provided")</f>
        <v>0</v>
      </c>
      <c r="K560" s="1">
        <f>IF(B560="", "", "g")</f>
        <v>0</v>
      </c>
    </row>
    <row r="561" spans="1:11">
      <c r="A561">
        <f>IF(COUNTBLANK(B561:K561)&lt;&gt;COLUMNS(B561:K561),560,"")</f>
        <v>0</v>
      </c>
      <c r="C561" s="2">
        <f>IF(B561="", "", "missing: not provided")</f>
        <v>0</v>
      </c>
      <c r="D561" s="1">
        <f>IF(B561="", "", "weeks")</f>
        <v>0</v>
      </c>
      <c r="E561" s="1">
        <f>IF(B561="", "", "urban biome")</f>
        <v>0</v>
      </c>
      <c r="F561" s="1">
        <f>IF(B561="", "", "animal-associated habitat")</f>
        <v>0</v>
      </c>
      <c r="G561" s="1">
        <f>IF(B561="", "", "mouse")</f>
        <v>0</v>
      </c>
      <c r="H561" s="1">
        <f>IF(B561="", "", "Mus musculus")</f>
        <v>0</v>
      </c>
      <c r="I561" s="1">
        <f>IF(B561="", "", "10090")</f>
        <v>0</v>
      </c>
      <c r="J561" s="2">
        <f>IF(B561="", "", "missing: not provided")</f>
        <v>0</v>
      </c>
      <c r="K561" s="1">
        <f>IF(B561="", "", "g")</f>
        <v>0</v>
      </c>
    </row>
    <row r="562" spans="1:11">
      <c r="A562">
        <f>IF(COUNTBLANK(B562:K562)&lt;&gt;COLUMNS(B562:K562),561,"")</f>
        <v>0</v>
      </c>
      <c r="C562" s="2">
        <f>IF(B562="", "", "missing: not provided")</f>
        <v>0</v>
      </c>
      <c r="D562" s="1">
        <f>IF(B562="", "", "weeks")</f>
        <v>0</v>
      </c>
      <c r="E562" s="1">
        <f>IF(B562="", "", "urban biome")</f>
        <v>0</v>
      </c>
      <c r="F562" s="1">
        <f>IF(B562="", "", "animal-associated habitat")</f>
        <v>0</v>
      </c>
      <c r="G562" s="1">
        <f>IF(B562="", "", "mouse")</f>
        <v>0</v>
      </c>
      <c r="H562" s="1">
        <f>IF(B562="", "", "Mus musculus")</f>
        <v>0</v>
      </c>
      <c r="I562" s="1">
        <f>IF(B562="", "", "10090")</f>
        <v>0</v>
      </c>
      <c r="J562" s="2">
        <f>IF(B562="", "", "missing: not provided")</f>
        <v>0</v>
      </c>
      <c r="K562" s="1">
        <f>IF(B562="", "", "g")</f>
        <v>0</v>
      </c>
    </row>
    <row r="563" spans="1:11">
      <c r="A563">
        <f>IF(COUNTBLANK(B563:K563)&lt;&gt;COLUMNS(B563:K563),562,"")</f>
        <v>0</v>
      </c>
      <c r="C563" s="2">
        <f>IF(B563="", "", "missing: not provided")</f>
        <v>0</v>
      </c>
      <c r="D563" s="1">
        <f>IF(B563="", "", "weeks")</f>
        <v>0</v>
      </c>
      <c r="E563" s="1">
        <f>IF(B563="", "", "urban biome")</f>
        <v>0</v>
      </c>
      <c r="F563" s="1">
        <f>IF(B563="", "", "animal-associated habitat")</f>
        <v>0</v>
      </c>
      <c r="G563" s="1">
        <f>IF(B563="", "", "mouse")</f>
        <v>0</v>
      </c>
      <c r="H563" s="1">
        <f>IF(B563="", "", "Mus musculus")</f>
        <v>0</v>
      </c>
      <c r="I563" s="1">
        <f>IF(B563="", "", "10090")</f>
        <v>0</v>
      </c>
      <c r="J563" s="2">
        <f>IF(B563="", "", "missing: not provided")</f>
        <v>0</v>
      </c>
      <c r="K563" s="1">
        <f>IF(B563="", "", "g")</f>
        <v>0</v>
      </c>
    </row>
    <row r="564" spans="1:11">
      <c r="A564">
        <f>IF(COUNTBLANK(B564:K564)&lt;&gt;COLUMNS(B564:K564),563,"")</f>
        <v>0</v>
      </c>
      <c r="C564" s="2">
        <f>IF(B564="", "", "missing: not provided")</f>
        <v>0</v>
      </c>
      <c r="D564" s="1">
        <f>IF(B564="", "", "weeks")</f>
        <v>0</v>
      </c>
      <c r="E564" s="1">
        <f>IF(B564="", "", "urban biome")</f>
        <v>0</v>
      </c>
      <c r="F564" s="1">
        <f>IF(B564="", "", "animal-associated habitat")</f>
        <v>0</v>
      </c>
      <c r="G564" s="1">
        <f>IF(B564="", "", "mouse")</f>
        <v>0</v>
      </c>
      <c r="H564" s="1">
        <f>IF(B564="", "", "Mus musculus")</f>
        <v>0</v>
      </c>
      <c r="I564" s="1">
        <f>IF(B564="", "", "10090")</f>
        <v>0</v>
      </c>
      <c r="J564" s="2">
        <f>IF(B564="", "", "missing: not provided")</f>
        <v>0</v>
      </c>
      <c r="K564" s="1">
        <f>IF(B564="", "", "g")</f>
        <v>0</v>
      </c>
    </row>
    <row r="565" spans="1:11">
      <c r="A565">
        <f>IF(COUNTBLANK(B565:K565)&lt;&gt;COLUMNS(B565:K565),564,"")</f>
        <v>0</v>
      </c>
      <c r="C565" s="2">
        <f>IF(B565="", "", "missing: not provided")</f>
        <v>0</v>
      </c>
      <c r="D565" s="1">
        <f>IF(B565="", "", "weeks")</f>
        <v>0</v>
      </c>
      <c r="E565" s="1">
        <f>IF(B565="", "", "urban biome")</f>
        <v>0</v>
      </c>
      <c r="F565" s="1">
        <f>IF(B565="", "", "animal-associated habitat")</f>
        <v>0</v>
      </c>
      <c r="G565" s="1">
        <f>IF(B565="", "", "mouse")</f>
        <v>0</v>
      </c>
      <c r="H565" s="1">
        <f>IF(B565="", "", "Mus musculus")</f>
        <v>0</v>
      </c>
      <c r="I565" s="1">
        <f>IF(B565="", "", "10090")</f>
        <v>0</v>
      </c>
      <c r="J565" s="2">
        <f>IF(B565="", "", "missing: not provided")</f>
        <v>0</v>
      </c>
      <c r="K565" s="1">
        <f>IF(B565="", "", "g")</f>
        <v>0</v>
      </c>
    </row>
    <row r="566" spans="1:11">
      <c r="A566">
        <f>IF(COUNTBLANK(B566:K566)&lt;&gt;COLUMNS(B566:K566),565,"")</f>
        <v>0</v>
      </c>
      <c r="C566" s="2">
        <f>IF(B566="", "", "missing: not provided")</f>
        <v>0</v>
      </c>
      <c r="D566" s="1">
        <f>IF(B566="", "", "weeks")</f>
        <v>0</v>
      </c>
      <c r="E566" s="1">
        <f>IF(B566="", "", "urban biome")</f>
        <v>0</v>
      </c>
      <c r="F566" s="1">
        <f>IF(B566="", "", "animal-associated habitat")</f>
        <v>0</v>
      </c>
      <c r="G566" s="1">
        <f>IF(B566="", "", "mouse")</f>
        <v>0</v>
      </c>
      <c r="H566" s="1">
        <f>IF(B566="", "", "Mus musculus")</f>
        <v>0</v>
      </c>
      <c r="I566" s="1">
        <f>IF(B566="", "", "10090")</f>
        <v>0</v>
      </c>
      <c r="J566" s="2">
        <f>IF(B566="", "", "missing: not provided")</f>
        <v>0</v>
      </c>
      <c r="K566" s="1">
        <f>IF(B566="", "", "g")</f>
        <v>0</v>
      </c>
    </row>
    <row r="567" spans="1:11">
      <c r="A567">
        <f>IF(COUNTBLANK(B567:K567)&lt;&gt;COLUMNS(B567:K567),566,"")</f>
        <v>0</v>
      </c>
      <c r="C567" s="2">
        <f>IF(B567="", "", "missing: not provided")</f>
        <v>0</v>
      </c>
      <c r="D567" s="1">
        <f>IF(B567="", "", "weeks")</f>
        <v>0</v>
      </c>
      <c r="E567" s="1">
        <f>IF(B567="", "", "urban biome")</f>
        <v>0</v>
      </c>
      <c r="F567" s="1">
        <f>IF(B567="", "", "animal-associated habitat")</f>
        <v>0</v>
      </c>
      <c r="G567" s="1">
        <f>IF(B567="", "", "mouse")</f>
        <v>0</v>
      </c>
      <c r="H567" s="1">
        <f>IF(B567="", "", "Mus musculus")</f>
        <v>0</v>
      </c>
      <c r="I567" s="1">
        <f>IF(B567="", "", "10090")</f>
        <v>0</v>
      </c>
      <c r="J567" s="2">
        <f>IF(B567="", "", "missing: not provided")</f>
        <v>0</v>
      </c>
      <c r="K567" s="1">
        <f>IF(B567="", "", "g")</f>
        <v>0</v>
      </c>
    </row>
    <row r="568" spans="1:11">
      <c r="A568">
        <f>IF(COUNTBLANK(B568:K568)&lt;&gt;COLUMNS(B568:K568),567,"")</f>
        <v>0</v>
      </c>
      <c r="C568" s="2">
        <f>IF(B568="", "", "missing: not provided")</f>
        <v>0</v>
      </c>
      <c r="D568" s="1">
        <f>IF(B568="", "", "weeks")</f>
        <v>0</v>
      </c>
      <c r="E568" s="1">
        <f>IF(B568="", "", "urban biome")</f>
        <v>0</v>
      </c>
      <c r="F568" s="1">
        <f>IF(B568="", "", "animal-associated habitat")</f>
        <v>0</v>
      </c>
      <c r="G568" s="1">
        <f>IF(B568="", "", "mouse")</f>
        <v>0</v>
      </c>
      <c r="H568" s="1">
        <f>IF(B568="", "", "Mus musculus")</f>
        <v>0</v>
      </c>
      <c r="I568" s="1">
        <f>IF(B568="", "", "10090")</f>
        <v>0</v>
      </c>
      <c r="J568" s="2">
        <f>IF(B568="", "", "missing: not provided")</f>
        <v>0</v>
      </c>
      <c r="K568" s="1">
        <f>IF(B568="", "", "g")</f>
        <v>0</v>
      </c>
    </row>
    <row r="569" spans="1:11">
      <c r="A569">
        <f>IF(COUNTBLANK(B569:K569)&lt;&gt;COLUMNS(B569:K569),568,"")</f>
        <v>0</v>
      </c>
      <c r="C569" s="2">
        <f>IF(B569="", "", "missing: not provided")</f>
        <v>0</v>
      </c>
      <c r="D569" s="1">
        <f>IF(B569="", "", "weeks")</f>
        <v>0</v>
      </c>
      <c r="E569" s="1">
        <f>IF(B569="", "", "urban biome")</f>
        <v>0</v>
      </c>
      <c r="F569" s="1">
        <f>IF(B569="", "", "animal-associated habitat")</f>
        <v>0</v>
      </c>
      <c r="G569" s="1">
        <f>IF(B569="", "", "mouse")</f>
        <v>0</v>
      </c>
      <c r="H569" s="1">
        <f>IF(B569="", "", "Mus musculus")</f>
        <v>0</v>
      </c>
      <c r="I569" s="1">
        <f>IF(B569="", "", "10090")</f>
        <v>0</v>
      </c>
      <c r="J569" s="2">
        <f>IF(B569="", "", "missing: not provided")</f>
        <v>0</v>
      </c>
      <c r="K569" s="1">
        <f>IF(B569="", "", "g")</f>
        <v>0</v>
      </c>
    </row>
    <row r="570" spans="1:11">
      <c r="A570">
        <f>IF(COUNTBLANK(B570:K570)&lt;&gt;COLUMNS(B570:K570),569,"")</f>
        <v>0</v>
      </c>
      <c r="C570" s="2">
        <f>IF(B570="", "", "missing: not provided")</f>
        <v>0</v>
      </c>
      <c r="D570" s="1">
        <f>IF(B570="", "", "weeks")</f>
        <v>0</v>
      </c>
      <c r="E570" s="1">
        <f>IF(B570="", "", "urban biome")</f>
        <v>0</v>
      </c>
      <c r="F570" s="1">
        <f>IF(B570="", "", "animal-associated habitat")</f>
        <v>0</v>
      </c>
      <c r="G570" s="1">
        <f>IF(B570="", "", "mouse")</f>
        <v>0</v>
      </c>
      <c r="H570" s="1">
        <f>IF(B570="", "", "Mus musculus")</f>
        <v>0</v>
      </c>
      <c r="I570" s="1">
        <f>IF(B570="", "", "10090")</f>
        <v>0</v>
      </c>
      <c r="J570" s="2">
        <f>IF(B570="", "", "missing: not provided")</f>
        <v>0</v>
      </c>
      <c r="K570" s="1">
        <f>IF(B570="", "", "g")</f>
        <v>0</v>
      </c>
    </row>
    <row r="571" spans="1:11">
      <c r="A571">
        <f>IF(COUNTBLANK(B571:K571)&lt;&gt;COLUMNS(B571:K571),570,"")</f>
        <v>0</v>
      </c>
      <c r="C571" s="2">
        <f>IF(B571="", "", "missing: not provided")</f>
        <v>0</v>
      </c>
      <c r="D571" s="1">
        <f>IF(B571="", "", "weeks")</f>
        <v>0</v>
      </c>
      <c r="E571" s="1">
        <f>IF(B571="", "", "urban biome")</f>
        <v>0</v>
      </c>
      <c r="F571" s="1">
        <f>IF(B571="", "", "animal-associated habitat")</f>
        <v>0</v>
      </c>
      <c r="G571" s="1">
        <f>IF(B571="", "", "mouse")</f>
        <v>0</v>
      </c>
      <c r="H571" s="1">
        <f>IF(B571="", "", "Mus musculus")</f>
        <v>0</v>
      </c>
      <c r="I571" s="1">
        <f>IF(B571="", "", "10090")</f>
        <v>0</v>
      </c>
      <c r="J571" s="2">
        <f>IF(B571="", "", "missing: not provided")</f>
        <v>0</v>
      </c>
      <c r="K571" s="1">
        <f>IF(B571="", "", "g")</f>
        <v>0</v>
      </c>
    </row>
    <row r="572" spans="1:11">
      <c r="A572">
        <f>IF(COUNTBLANK(B572:K572)&lt;&gt;COLUMNS(B572:K572),571,"")</f>
        <v>0</v>
      </c>
      <c r="C572" s="2">
        <f>IF(B572="", "", "missing: not provided")</f>
        <v>0</v>
      </c>
      <c r="D572" s="1">
        <f>IF(B572="", "", "weeks")</f>
        <v>0</v>
      </c>
      <c r="E572" s="1">
        <f>IF(B572="", "", "urban biome")</f>
        <v>0</v>
      </c>
      <c r="F572" s="1">
        <f>IF(B572="", "", "animal-associated habitat")</f>
        <v>0</v>
      </c>
      <c r="G572" s="1">
        <f>IF(B572="", "", "mouse")</f>
        <v>0</v>
      </c>
      <c r="H572" s="1">
        <f>IF(B572="", "", "Mus musculus")</f>
        <v>0</v>
      </c>
      <c r="I572" s="1">
        <f>IF(B572="", "", "10090")</f>
        <v>0</v>
      </c>
      <c r="J572" s="2">
        <f>IF(B572="", "", "missing: not provided")</f>
        <v>0</v>
      </c>
      <c r="K572" s="1">
        <f>IF(B572="", "", "g")</f>
        <v>0</v>
      </c>
    </row>
    <row r="573" spans="1:11">
      <c r="A573">
        <f>IF(COUNTBLANK(B573:K573)&lt;&gt;COLUMNS(B573:K573),572,"")</f>
        <v>0</v>
      </c>
      <c r="C573" s="2">
        <f>IF(B573="", "", "missing: not provided")</f>
        <v>0</v>
      </c>
      <c r="D573" s="1">
        <f>IF(B573="", "", "weeks")</f>
        <v>0</v>
      </c>
      <c r="E573" s="1">
        <f>IF(B573="", "", "urban biome")</f>
        <v>0</v>
      </c>
      <c r="F573" s="1">
        <f>IF(B573="", "", "animal-associated habitat")</f>
        <v>0</v>
      </c>
      <c r="G573" s="1">
        <f>IF(B573="", "", "mouse")</f>
        <v>0</v>
      </c>
      <c r="H573" s="1">
        <f>IF(B573="", "", "Mus musculus")</f>
        <v>0</v>
      </c>
      <c r="I573" s="1">
        <f>IF(B573="", "", "10090")</f>
        <v>0</v>
      </c>
      <c r="J573" s="2">
        <f>IF(B573="", "", "missing: not provided")</f>
        <v>0</v>
      </c>
      <c r="K573" s="1">
        <f>IF(B573="", "", "g")</f>
        <v>0</v>
      </c>
    </row>
    <row r="574" spans="1:11">
      <c r="A574">
        <f>IF(COUNTBLANK(B574:K574)&lt;&gt;COLUMNS(B574:K574),573,"")</f>
        <v>0</v>
      </c>
      <c r="C574" s="2">
        <f>IF(B574="", "", "missing: not provided")</f>
        <v>0</v>
      </c>
      <c r="D574" s="1">
        <f>IF(B574="", "", "weeks")</f>
        <v>0</v>
      </c>
      <c r="E574" s="1">
        <f>IF(B574="", "", "urban biome")</f>
        <v>0</v>
      </c>
      <c r="F574" s="1">
        <f>IF(B574="", "", "animal-associated habitat")</f>
        <v>0</v>
      </c>
      <c r="G574" s="1">
        <f>IF(B574="", "", "mouse")</f>
        <v>0</v>
      </c>
      <c r="H574" s="1">
        <f>IF(B574="", "", "Mus musculus")</f>
        <v>0</v>
      </c>
      <c r="I574" s="1">
        <f>IF(B574="", "", "10090")</f>
        <v>0</v>
      </c>
      <c r="J574" s="2">
        <f>IF(B574="", "", "missing: not provided")</f>
        <v>0</v>
      </c>
      <c r="K574" s="1">
        <f>IF(B574="", "", "g")</f>
        <v>0</v>
      </c>
    </row>
    <row r="575" spans="1:11">
      <c r="A575">
        <f>IF(COUNTBLANK(B575:K575)&lt;&gt;COLUMNS(B575:K575),574,"")</f>
        <v>0</v>
      </c>
      <c r="C575" s="2">
        <f>IF(B575="", "", "missing: not provided")</f>
        <v>0</v>
      </c>
      <c r="D575" s="1">
        <f>IF(B575="", "", "weeks")</f>
        <v>0</v>
      </c>
      <c r="E575" s="1">
        <f>IF(B575="", "", "urban biome")</f>
        <v>0</v>
      </c>
      <c r="F575" s="1">
        <f>IF(B575="", "", "animal-associated habitat")</f>
        <v>0</v>
      </c>
      <c r="G575" s="1">
        <f>IF(B575="", "", "mouse")</f>
        <v>0</v>
      </c>
      <c r="H575" s="1">
        <f>IF(B575="", "", "Mus musculus")</f>
        <v>0</v>
      </c>
      <c r="I575" s="1">
        <f>IF(B575="", "", "10090")</f>
        <v>0</v>
      </c>
      <c r="J575" s="2">
        <f>IF(B575="", "", "missing: not provided")</f>
        <v>0</v>
      </c>
      <c r="K575" s="1">
        <f>IF(B575="", "", "g")</f>
        <v>0</v>
      </c>
    </row>
    <row r="576" spans="1:11">
      <c r="A576">
        <f>IF(COUNTBLANK(B576:K576)&lt;&gt;COLUMNS(B576:K576),575,"")</f>
        <v>0</v>
      </c>
      <c r="C576" s="2">
        <f>IF(B576="", "", "missing: not provided")</f>
        <v>0</v>
      </c>
      <c r="D576" s="1">
        <f>IF(B576="", "", "weeks")</f>
        <v>0</v>
      </c>
      <c r="E576" s="1">
        <f>IF(B576="", "", "urban biome")</f>
        <v>0</v>
      </c>
      <c r="F576" s="1">
        <f>IF(B576="", "", "animal-associated habitat")</f>
        <v>0</v>
      </c>
      <c r="G576" s="1">
        <f>IF(B576="", "", "mouse")</f>
        <v>0</v>
      </c>
      <c r="H576" s="1">
        <f>IF(B576="", "", "Mus musculus")</f>
        <v>0</v>
      </c>
      <c r="I576" s="1">
        <f>IF(B576="", "", "10090")</f>
        <v>0</v>
      </c>
      <c r="J576" s="2">
        <f>IF(B576="", "", "missing: not provided")</f>
        <v>0</v>
      </c>
      <c r="K576" s="1">
        <f>IF(B576="", "", "g")</f>
        <v>0</v>
      </c>
    </row>
    <row r="577" spans="1:11">
      <c r="A577">
        <f>IF(COUNTBLANK(B577:K577)&lt;&gt;COLUMNS(B577:K577),576,"")</f>
        <v>0</v>
      </c>
      <c r="C577" s="2">
        <f>IF(B577="", "", "missing: not provided")</f>
        <v>0</v>
      </c>
      <c r="D577" s="1">
        <f>IF(B577="", "", "weeks")</f>
        <v>0</v>
      </c>
      <c r="E577" s="1">
        <f>IF(B577="", "", "urban biome")</f>
        <v>0</v>
      </c>
      <c r="F577" s="1">
        <f>IF(B577="", "", "animal-associated habitat")</f>
        <v>0</v>
      </c>
      <c r="G577" s="1">
        <f>IF(B577="", "", "mouse")</f>
        <v>0</v>
      </c>
      <c r="H577" s="1">
        <f>IF(B577="", "", "Mus musculus")</f>
        <v>0</v>
      </c>
      <c r="I577" s="1">
        <f>IF(B577="", "", "10090")</f>
        <v>0</v>
      </c>
      <c r="J577" s="2">
        <f>IF(B577="", "", "missing: not provided")</f>
        <v>0</v>
      </c>
      <c r="K577" s="1">
        <f>IF(B577="", "", "g")</f>
        <v>0</v>
      </c>
    </row>
    <row r="578" spans="1:11">
      <c r="A578">
        <f>IF(COUNTBLANK(B578:K578)&lt;&gt;COLUMNS(B578:K578),577,"")</f>
        <v>0</v>
      </c>
      <c r="C578" s="2">
        <f>IF(B578="", "", "missing: not provided")</f>
        <v>0</v>
      </c>
      <c r="D578" s="1">
        <f>IF(B578="", "", "weeks")</f>
        <v>0</v>
      </c>
      <c r="E578" s="1">
        <f>IF(B578="", "", "urban biome")</f>
        <v>0</v>
      </c>
      <c r="F578" s="1">
        <f>IF(B578="", "", "animal-associated habitat")</f>
        <v>0</v>
      </c>
      <c r="G578" s="1">
        <f>IF(B578="", "", "mouse")</f>
        <v>0</v>
      </c>
      <c r="H578" s="1">
        <f>IF(B578="", "", "Mus musculus")</f>
        <v>0</v>
      </c>
      <c r="I578" s="1">
        <f>IF(B578="", "", "10090")</f>
        <v>0</v>
      </c>
      <c r="J578" s="2">
        <f>IF(B578="", "", "missing: not provided")</f>
        <v>0</v>
      </c>
      <c r="K578" s="1">
        <f>IF(B578="", "", "g")</f>
        <v>0</v>
      </c>
    </row>
    <row r="579" spans="1:11">
      <c r="A579">
        <f>IF(COUNTBLANK(B579:K579)&lt;&gt;COLUMNS(B579:K579),578,"")</f>
        <v>0</v>
      </c>
      <c r="C579" s="2">
        <f>IF(B579="", "", "missing: not provided")</f>
        <v>0</v>
      </c>
      <c r="D579" s="1">
        <f>IF(B579="", "", "weeks")</f>
        <v>0</v>
      </c>
      <c r="E579" s="1">
        <f>IF(B579="", "", "urban biome")</f>
        <v>0</v>
      </c>
      <c r="F579" s="1">
        <f>IF(B579="", "", "animal-associated habitat")</f>
        <v>0</v>
      </c>
      <c r="G579" s="1">
        <f>IF(B579="", "", "mouse")</f>
        <v>0</v>
      </c>
      <c r="H579" s="1">
        <f>IF(B579="", "", "Mus musculus")</f>
        <v>0</v>
      </c>
      <c r="I579" s="1">
        <f>IF(B579="", "", "10090")</f>
        <v>0</v>
      </c>
      <c r="J579" s="2">
        <f>IF(B579="", "", "missing: not provided")</f>
        <v>0</v>
      </c>
      <c r="K579" s="1">
        <f>IF(B579="", "", "g")</f>
        <v>0</v>
      </c>
    </row>
    <row r="580" spans="1:11">
      <c r="A580">
        <f>IF(COUNTBLANK(B580:K580)&lt;&gt;COLUMNS(B580:K580),579,"")</f>
        <v>0</v>
      </c>
      <c r="C580" s="2">
        <f>IF(B580="", "", "missing: not provided")</f>
        <v>0</v>
      </c>
      <c r="D580" s="1">
        <f>IF(B580="", "", "weeks")</f>
        <v>0</v>
      </c>
      <c r="E580" s="1">
        <f>IF(B580="", "", "urban biome")</f>
        <v>0</v>
      </c>
      <c r="F580" s="1">
        <f>IF(B580="", "", "animal-associated habitat")</f>
        <v>0</v>
      </c>
      <c r="G580" s="1">
        <f>IF(B580="", "", "mouse")</f>
        <v>0</v>
      </c>
      <c r="H580" s="1">
        <f>IF(B580="", "", "Mus musculus")</f>
        <v>0</v>
      </c>
      <c r="I580" s="1">
        <f>IF(B580="", "", "10090")</f>
        <v>0</v>
      </c>
      <c r="J580" s="2">
        <f>IF(B580="", "", "missing: not provided")</f>
        <v>0</v>
      </c>
      <c r="K580" s="1">
        <f>IF(B580="", "", "g")</f>
        <v>0</v>
      </c>
    </row>
    <row r="581" spans="1:11">
      <c r="A581">
        <f>IF(COUNTBLANK(B581:K581)&lt;&gt;COLUMNS(B581:K581),580,"")</f>
        <v>0</v>
      </c>
      <c r="C581" s="2">
        <f>IF(B581="", "", "missing: not provided")</f>
        <v>0</v>
      </c>
      <c r="D581" s="1">
        <f>IF(B581="", "", "weeks")</f>
        <v>0</v>
      </c>
      <c r="E581" s="1">
        <f>IF(B581="", "", "urban biome")</f>
        <v>0</v>
      </c>
      <c r="F581" s="1">
        <f>IF(B581="", "", "animal-associated habitat")</f>
        <v>0</v>
      </c>
      <c r="G581" s="1">
        <f>IF(B581="", "", "mouse")</f>
        <v>0</v>
      </c>
      <c r="H581" s="1">
        <f>IF(B581="", "", "Mus musculus")</f>
        <v>0</v>
      </c>
      <c r="I581" s="1">
        <f>IF(B581="", "", "10090")</f>
        <v>0</v>
      </c>
      <c r="J581" s="2">
        <f>IF(B581="", "", "missing: not provided")</f>
        <v>0</v>
      </c>
      <c r="K581" s="1">
        <f>IF(B581="", "", "g")</f>
        <v>0</v>
      </c>
    </row>
    <row r="582" spans="1:11">
      <c r="A582">
        <f>IF(COUNTBLANK(B582:K582)&lt;&gt;COLUMNS(B582:K582),581,"")</f>
        <v>0</v>
      </c>
      <c r="C582" s="2">
        <f>IF(B582="", "", "missing: not provided")</f>
        <v>0</v>
      </c>
      <c r="D582" s="1">
        <f>IF(B582="", "", "weeks")</f>
        <v>0</v>
      </c>
      <c r="E582" s="1">
        <f>IF(B582="", "", "urban biome")</f>
        <v>0</v>
      </c>
      <c r="F582" s="1">
        <f>IF(B582="", "", "animal-associated habitat")</f>
        <v>0</v>
      </c>
      <c r="G582" s="1">
        <f>IF(B582="", "", "mouse")</f>
        <v>0</v>
      </c>
      <c r="H582" s="1">
        <f>IF(B582="", "", "Mus musculus")</f>
        <v>0</v>
      </c>
      <c r="I582" s="1">
        <f>IF(B582="", "", "10090")</f>
        <v>0</v>
      </c>
      <c r="J582" s="2">
        <f>IF(B582="", "", "missing: not provided")</f>
        <v>0</v>
      </c>
      <c r="K582" s="1">
        <f>IF(B582="", "", "g")</f>
        <v>0</v>
      </c>
    </row>
    <row r="583" spans="1:11">
      <c r="A583">
        <f>IF(COUNTBLANK(B583:K583)&lt;&gt;COLUMNS(B583:K583),582,"")</f>
        <v>0</v>
      </c>
      <c r="C583" s="2">
        <f>IF(B583="", "", "missing: not provided")</f>
        <v>0</v>
      </c>
      <c r="D583" s="1">
        <f>IF(B583="", "", "weeks")</f>
        <v>0</v>
      </c>
      <c r="E583" s="1">
        <f>IF(B583="", "", "urban biome")</f>
        <v>0</v>
      </c>
      <c r="F583" s="1">
        <f>IF(B583="", "", "animal-associated habitat")</f>
        <v>0</v>
      </c>
      <c r="G583" s="1">
        <f>IF(B583="", "", "mouse")</f>
        <v>0</v>
      </c>
      <c r="H583" s="1">
        <f>IF(B583="", "", "Mus musculus")</f>
        <v>0</v>
      </c>
      <c r="I583" s="1">
        <f>IF(B583="", "", "10090")</f>
        <v>0</v>
      </c>
      <c r="J583" s="2">
        <f>IF(B583="", "", "missing: not provided")</f>
        <v>0</v>
      </c>
      <c r="K583" s="1">
        <f>IF(B583="", "", "g")</f>
        <v>0</v>
      </c>
    </row>
    <row r="584" spans="1:11">
      <c r="A584">
        <f>IF(COUNTBLANK(B584:K584)&lt;&gt;COLUMNS(B584:K584),583,"")</f>
        <v>0</v>
      </c>
      <c r="C584" s="2">
        <f>IF(B584="", "", "missing: not provided")</f>
        <v>0</v>
      </c>
      <c r="D584" s="1">
        <f>IF(B584="", "", "weeks")</f>
        <v>0</v>
      </c>
      <c r="E584" s="1">
        <f>IF(B584="", "", "urban biome")</f>
        <v>0</v>
      </c>
      <c r="F584" s="1">
        <f>IF(B584="", "", "animal-associated habitat")</f>
        <v>0</v>
      </c>
      <c r="G584" s="1">
        <f>IF(B584="", "", "mouse")</f>
        <v>0</v>
      </c>
      <c r="H584" s="1">
        <f>IF(B584="", "", "Mus musculus")</f>
        <v>0</v>
      </c>
      <c r="I584" s="1">
        <f>IF(B584="", "", "10090")</f>
        <v>0</v>
      </c>
      <c r="J584" s="2">
        <f>IF(B584="", "", "missing: not provided")</f>
        <v>0</v>
      </c>
      <c r="K584" s="1">
        <f>IF(B584="", "", "g")</f>
        <v>0</v>
      </c>
    </row>
    <row r="585" spans="1:11">
      <c r="A585">
        <f>IF(COUNTBLANK(B585:K585)&lt;&gt;COLUMNS(B585:K585),584,"")</f>
        <v>0</v>
      </c>
      <c r="C585" s="2">
        <f>IF(B585="", "", "missing: not provided")</f>
        <v>0</v>
      </c>
      <c r="D585" s="1">
        <f>IF(B585="", "", "weeks")</f>
        <v>0</v>
      </c>
      <c r="E585" s="1">
        <f>IF(B585="", "", "urban biome")</f>
        <v>0</v>
      </c>
      <c r="F585" s="1">
        <f>IF(B585="", "", "animal-associated habitat")</f>
        <v>0</v>
      </c>
      <c r="G585" s="1">
        <f>IF(B585="", "", "mouse")</f>
        <v>0</v>
      </c>
      <c r="H585" s="1">
        <f>IF(B585="", "", "Mus musculus")</f>
        <v>0</v>
      </c>
      <c r="I585" s="1">
        <f>IF(B585="", "", "10090")</f>
        <v>0</v>
      </c>
      <c r="J585" s="2">
        <f>IF(B585="", "", "missing: not provided")</f>
        <v>0</v>
      </c>
      <c r="K585" s="1">
        <f>IF(B585="", "", "g")</f>
        <v>0</v>
      </c>
    </row>
    <row r="586" spans="1:11">
      <c r="A586">
        <f>IF(COUNTBLANK(B586:K586)&lt;&gt;COLUMNS(B586:K586),585,"")</f>
        <v>0</v>
      </c>
      <c r="C586" s="2">
        <f>IF(B586="", "", "missing: not provided")</f>
        <v>0</v>
      </c>
      <c r="D586" s="1">
        <f>IF(B586="", "", "weeks")</f>
        <v>0</v>
      </c>
      <c r="E586" s="1">
        <f>IF(B586="", "", "urban biome")</f>
        <v>0</v>
      </c>
      <c r="F586" s="1">
        <f>IF(B586="", "", "animal-associated habitat")</f>
        <v>0</v>
      </c>
      <c r="G586" s="1">
        <f>IF(B586="", "", "mouse")</f>
        <v>0</v>
      </c>
      <c r="H586" s="1">
        <f>IF(B586="", "", "Mus musculus")</f>
        <v>0</v>
      </c>
      <c r="I586" s="1">
        <f>IF(B586="", "", "10090")</f>
        <v>0</v>
      </c>
      <c r="J586" s="2">
        <f>IF(B586="", "", "missing: not provided")</f>
        <v>0</v>
      </c>
      <c r="K586" s="1">
        <f>IF(B586="", "", "g")</f>
        <v>0</v>
      </c>
    </row>
    <row r="587" spans="1:11">
      <c r="A587">
        <f>IF(COUNTBLANK(B587:K587)&lt;&gt;COLUMNS(B587:K587),586,"")</f>
        <v>0</v>
      </c>
      <c r="C587" s="2">
        <f>IF(B587="", "", "missing: not provided")</f>
        <v>0</v>
      </c>
      <c r="D587" s="1">
        <f>IF(B587="", "", "weeks")</f>
        <v>0</v>
      </c>
      <c r="E587" s="1">
        <f>IF(B587="", "", "urban biome")</f>
        <v>0</v>
      </c>
      <c r="F587" s="1">
        <f>IF(B587="", "", "animal-associated habitat")</f>
        <v>0</v>
      </c>
      <c r="G587" s="1">
        <f>IF(B587="", "", "mouse")</f>
        <v>0</v>
      </c>
      <c r="H587" s="1">
        <f>IF(B587="", "", "Mus musculus")</f>
        <v>0</v>
      </c>
      <c r="I587" s="1">
        <f>IF(B587="", "", "10090")</f>
        <v>0</v>
      </c>
      <c r="J587" s="2">
        <f>IF(B587="", "", "missing: not provided")</f>
        <v>0</v>
      </c>
      <c r="K587" s="1">
        <f>IF(B587="", "", "g")</f>
        <v>0</v>
      </c>
    </row>
    <row r="588" spans="1:11">
      <c r="A588">
        <f>IF(COUNTBLANK(B588:K588)&lt;&gt;COLUMNS(B588:K588),587,"")</f>
        <v>0</v>
      </c>
      <c r="C588" s="2">
        <f>IF(B588="", "", "missing: not provided")</f>
        <v>0</v>
      </c>
      <c r="D588" s="1">
        <f>IF(B588="", "", "weeks")</f>
        <v>0</v>
      </c>
      <c r="E588" s="1">
        <f>IF(B588="", "", "urban biome")</f>
        <v>0</v>
      </c>
      <c r="F588" s="1">
        <f>IF(B588="", "", "animal-associated habitat")</f>
        <v>0</v>
      </c>
      <c r="G588" s="1">
        <f>IF(B588="", "", "mouse")</f>
        <v>0</v>
      </c>
      <c r="H588" s="1">
        <f>IF(B588="", "", "Mus musculus")</f>
        <v>0</v>
      </c>
      <c r="I588" s="1">
        <f>IF(B588="", "", "10090")</f>
        <v>0</v>
      </c>
      <c r="J588" s="2">
        <f>IF(B588="", "", "missing: not provided")</f>
        <v>0</v>
      </c>
      <c r="K588" s="1">
        <f>IF(B588="", "", "g")</f>
        <v>0</v>
      </c>
    </row>
    <row r="589" spans="1:11">
      <c r="A589">
        <f>IF(COUNTBLANK(B589:K589)&lt;&gt;COLUMNS(B589:K589),588,"")</f>
        <v>0</v>
      </c>
      <c r="C589" s="2">
        <f>IF(B589="", "", "missing: not provided")</f>
        <v>0</v>
      </c>
      <c r="D589" s="1">
        <f>IF(B589="", "", "weeks")</f>
        <v>0</v>
      </c>
      <c r="E589" s="1">
        <f>IF(B589="", "", "urban biome")</f>
        <v>0</v>
      </c>
      <c r="F589" s="1">
        <f>IF(B589="", "", "animal-associated habitat")</f>
        <v>0</v>
      </c>
      <c r="G589" s="1">
        <f>IF(B589="", "", "mouse")</f>
        <v>0</v>
      </c>
      <c r="H589" s="1">
        <f>IF(B589="", "", "Mus musculus")</f>
        <v>0</v>
      </c>
      <c r="I589" s="1">
        <f>IF(B589="", "", "10090")</f>
        <v>0</v>
      </c>
      <c r="J589" s="2">
        <f>IF(B589="", "", "missing: not provided")</f>
        <v>0</v>
      </c>
      <c r="K589" s="1">
        <f>IF(B589="", "", "g")</f>
        <v>0</v>
      </c>
    </row>
    <row r="590" spans="1:11">
      <c r="A590">
        <f>IF(COUNTBLANK(B590:K590)&lt;&gt;COLUMNS(B590:K590),589,"")</f>
        <v>0</v>
      </c>
      <c r="C590" s="2">
        <f>IF(B590="", "", "missing: not provided")</f>
        <v>0</v>
      </c>
      <c r="D590" s="1">
        <f>IF(B590="", "", "weeks")</f>
        <v>0</v>
      </c>
      <c r="E590" s="1">
        <f>IF(B590="", "", "urban biome")</f>
        <v>0</v>
      </c>
      <c r="F590" s="1">
        <f>IF(B590="", "", "animal-associated habitat")</f>
        <v>0</v>
      </c>
      <c r="G590" s="1">
        <f>IF(B590="", "", "mouse")</f>
        <v>0</v>
      </c>
      <c r="H590" s="1">
        <f>IF(B590="", "", "Mus musculus")</f>
        <v>0</v>
      </c>
      <c r="I590" s="1">
        <f>IF(B590="", "", "10090")</f>
        <v>0</v>
      </c>
      <c r="J590" s="2">
        <f>IF(B590="", "", "missing: not provided")</f>
        <v>0</v>
      </c>
      <c r="K590" s="1">
        <f>IF(B590="", "", "g")</f>
        <v>0</v>
      </c>
    </row>
    <row r="591" spans="1:11">
      <c r="A591">
        <f>IF(COUNTBLANK(B591:K591)&lt;&gt;COLUMNS(B591:K591),590,"")</f>
        <v>0</v>
      </c>
      <c r="C591" s="2">
        <f>IF(B591="", "", "missing: not provided")</f>
        <v>0</v>
      </c>
      <c r="D591" s="1">
        <f>IF(B591="", "", "weeks")</f>
        <v>0</v>
      </c>
      <c r="E591" s="1">
        <f>IF(B591="", "", "urban biome")</f>
        <v>0</v>
      </c>
      <c r="F591" s="1">
        <f>IF(B591="", "", "animal-associated habitat")</f>
        <v>0</v>
      </c>
      <c r="G591" s="1">
        <f>IF(B591="", "", "mouse")</f>
        <v>0</v>
      </c>
      <c r="H591" s="1">
        <f>IF(B591="", "", "Mus musculus")</f>
        <v>0</v>
      </c>
      <c r="I591" s="1">
        <f>IF(B591="", "", "10090")</f>
        <v>0</v>
      </c>
      <c r="J591" s="2">
        <f>IF(B591="", "", "missing: not provided")</f>
        <v>0</v>
      </c>
      <c r="K591" s="1">
        <f>IF(B591="", "", "g")</f>
        <v>0</v>
      </c>
    </row>
    <row r="592" spans="1:11">
      <c r="A592">
        <f>IF(COUNTBLANK(B592:K592)&lt;&gt;COLUMNS(B592:K592),591,"")</f>
        <v>0</v>
      </c>
      <c r="C592" s="2">
        <f>IF(B592="", "", "missing: not provided")</f>
        <v>0</v>
      </c>
      <c r="D592" s="1">
        <f>IF(B592="", "", "weeks")</f>
        <v>0</v>
      </c>
      <c r="E592" s="1">
        <f>IF(B592="", "", "urban biome")</f>
        <v>0</v>
      </c>
      <c r="F592" s="1">
        <f>IF(B592="", "", "animal-associated habitat")</f>
        <v>0</v>
      </c>
      <c r="G592" s="1">
        <f>IF(B592="", "", "mouse")</f>
        <v>0</v>
      </c>
      <c r="H592" s="1">
        <f>IF(B592="", "", "Mus musculus")</f>
        <v>0</v>
      </c>
      <c r="I592" s="1">
        <f>IF(B592="", "", "10090")</f>
        <v>0</v>
      </c>
      <c r="J592" s="2">
        <f>IF(B592="", "", "missing: not provided")</f>
        <v>0</v>
      </c>
      <c r="K592" s="1">
        <f>IF(B592="", "", "g")</f>
        <v>0</v>
      </c>
    </row>
    <row r="593" spans="1:11">
      <c r="A593">
        <f>IF(COUNTBLANK(B593:K593)&lt;&gt;COLUMNS(B593:K593),592,"")</f>
        <v>0</v>
      </c>
      <c r="C593" s="2">
        <f>IF(B593="", "", "missing: not provided")</f>
        <v>0</v>
      </c>
      <c r="D593" s="1">
        <f>IF(B593="", "", "weeks")</f>
        <v>0</v>
      </c>
      <c r="E593" s="1">
        <f>IF(B593="", "", "urban biome")</f>
        <v>0</v>
      </c>
      <c r="F593" s="1">
        <f>IF(B593="", "", "animal-associated habitat")</f>
        <v>0</v>
      </c>
      <c r="G593" s="1">
        <f>IF(B593="", "", "mouse")</f>
        <v>0</v>
      </c>
      <c r="H593" s="1">
        <f>IF(B593="", "", "Mus musculus")</f>
        <v>0</v>
      </c>
      <c r="I593" s="1">
        <f>IF(B593="", "", "10090")</f>
        <v>0</v>
      </c>
      <c r="J593" s="2">
        <f>IF(B593="", "", "missing: not provided")</f>
        <v>0</v>
      </c>
      <c r="K593" s="1">
        <f>IF(B593="", "", "g")</f>
        <v>0</v>
      </c>
    </row>
    <row r="594" spans="1:11">
      <c r="A594">
        <f>IF(COUNTBLANK(B594:K594)&lt;&gt;COLUMNS(B594:K594),593,"")</f>
        <v>0</v>
      </c>
      <c r="C594" s="2">
        <f>IF(B594="", "", "missing: not provided")</f>
        <v>0</v>
      </c>
      <c r="D594" s="1">
        <f>IF(B594="", "", "weeks")</f>
        <v>0</v>
      </c>
      <c r="E594" s="1">
        <f>IF(B594="", "", "urban biome")</f>
        <v>0</v>
      </c>
      <c r="F594" s="1">
        <f>IF(B594="", "", "animal-associated habitat")</f>
        <v>0</v>
      </c>
      <c r="G594" s="1">
        <f>IF(B594="", "", "mouse")</f>
        <v>0</v>
      </c>
      <c r="H594" s="1">
        <f>IF(B594="", "", "Mus musculus")</f>
        <v>0</v>
      </c>
      <c r="I594" s="1">
        <f>IF(B594="", "", "10090")</f>
        <v>0</v>
      </c>
      <c r="J594" s="2">
        <f>IF(B594="", "", "missing: not provided")</f>
        <v>0</v>
      </c>
      <c r="K594" s="1">
        <f>IF(B594="", "", "g")</f>
        <v>0</v>
      </c>
    </row>
    <row r="595" spans="1:11">
      <c r="A595">
        <f>IF(COUNTBLANK(B595:K595)&lt;&gt;COLUMNS(B595:K595),594,"")</f>
        <v>0</v>
      </c>
      <c r="C595" s="2">
        <f>IF(B595="", "", "missing: not provided")</f>
        <v>0</v>
      </c>
      <c r="D595" s="1">
        <f>IF(B595="", "", "weeks")</f>
        <v>0</v>
      </c>
      <c r="E595" s="1">
        <f>IF(B595="", "", "urban biome")</f>
        <v>0</v>
      </c>
      <c r="F595" s="1">
        <f>IF(B595="", "", "animal-associated habitat")</f>
        <v>0</v>
      </c>
      <c r="G595" s="1">
        <f>IF(B595="", "", "mouse")</f>
        <v>0</v>
      </c>
      <c r="H595" s="1">
        <f>IF(B595="", "", "Mus musculus")</f>
        <v>0</v>
      </c>
      <c r="I595" s="1">
        <f>IF(B595="", "", "10090")</f>
        <v>0</v>
      </c>
      <c r="J595" s="2">
        <f>IF(B595="", "", "missing: not provided")</f>
        <v>0</v>
      </c>
      <c r="K595" s="1">
        <f>IF(B595="", "", "g")</f>
        <v>0</v>
      </c>
    </row>
    <row r="596" spans="1:11">
      <c r="A596">
        <f>IF(COUNTBLANK(B596:K596)&lt;&gt;COLUMNS(B596:K596),595,"")</f>
        <v>0</v>
      </c>
      <c r="C596" s="2">
        <f>IF(B596="", "", "missing: not provided")</f>
        <v>0</v>
      </c>
      <c r="D596" s="1">
        <f>IF(B596="", "", "weeks")</f>
        <v>0</v>
      </c>
      <c r="E596" s="1">
        <f>IF(B596="", "", "urban biome")</f>
        <v>0</v>
      </c>
      <c r="F596" s="1">
        <f>IF(B596="", "", "animal-associated habitat")</f>
        <v>0</v>
      </c>
      <c r="G596" s="1">
        <f>IF(B596="", "", "mouse")</f>
        <v>0</v>
      </c>
      <c r="H596" s="1">
        <f>IF(B596="", "", "Mus musculus")</f>
        <v>0</v>
      </c>
      <c r="I596" s="1">
        <f>IF(B596="", "", "10090")</f>
        <v>0</v>
      </c>
      <c r="J596" s="2">
        <f>IF(B596="", "", "missing: not provided")</f>
        <v>0</v>
      </c>
      <c r="K596" s="1">
        <f>IF(B596="", "", "g")</f>
        <v>0</v>
      </c>
    </row>
    <row r="597" spans="1:11">
      <c r="A597">
        <f>IF(COUNTBLANK(B597:K597)&lt;&gt;COLUMNS(B597:K597),596,"")</f>
        <v>0</v>
      </c>
      <c r="C597" s="2">
        <f>IF(B597="", "", "missing: not provided")</f>
        <v>0</v>
      </c>
      <c r="D597" s="1">
        <f>IF(B597="", "", "weeks")</f>
        <v>0</v>
      </c>
      <c r="E597" s="1">
        <f>IF(B597="", "", "urban biome")</f>
        <v>0</v>
      </c>
      <c r="F597" s="1">
        <f>IF(B597="", "", "animal-associated habitat")</f>
        <v>0</v>
      </c>
      <c r="G597" s="1">
        <f>IF(B597="", "", "mouse")</f>
        <v>0</v>
      </c>
      <c r="H597" s="1">
        <f>IF(B597="", "", "Mus musculus")</f>
        <v>0</v>
      </c>
      <c r="I597" s="1">
        <f>IF(B597="", "", "10090")</f>
        <v>0</v>
      </c>
      <c r="J597" s="2">
        <f>IF(B597="", "", "missing: not provided")</f>
        <v>0</v>
      </c>
      <c r="K597" s="1">
        <f>IF(B597="", "", "g")</f>
        <v>0</v>
      </c>
    </row>
    <row r="598" spans="1:11">
      <c r="A598">
        <f>IF(COUNTBLANK(B598:K598)&lt;&gt;COLUMNS(B598:K598),597,"")</f>
        <v>0</v>
      </c>
      <c r="C598" s="2">
        <f>IF(B598="", "", "missing: not provided")</f>
        <v>0</v>
      </c>
      <c r="D598" s="1">
        <f>IF(B598="", "", "weeks")</f>
        <v>0</v>
      </c>
      <c r="E598" s="1">
        <f>IF(B598="", "", "urban biome")</f>
        <v>0</v>
      </c>
      <c r="F598" s="1">
        <f>IF(B598="", "", "animal-associated habitat")</f>
        <v>0</v>
      </c>
      <c r="G598" s="1">
        <f>IF(B598="", "", "mouse")</f>
        <v>0</v>
      </c>
      <c r="H598" s="1">
        <f>IF(B598="", "", "Mus musculus")</f>
        <v>0</v>
      </c>
      <c r="I598" s="1">
        <f>IF(B598="", "", "10090")</f>
        <v>0</v>
      </c>
      <c r="J598" s="2">
        <f>IF(B598="", "", "missing: not provided")</f>
        <v>0</v>
      </c>
      <c r="K598" s="1">
        <f>IF(B598="", "", "g")</f>
        <v>0</v>
      </c>
    </row>
    <row r="599" spans="1:11">
      <c r="A599">
        <f>IF(COUNTBLANK(B599:K599)&lt;&gt;COLUMNS(B599:K599),598,"")</f>
        <v>0</v>
      </c>
      <c r="C599" s="2">
        <f>IF(B599="", "", "missing: not provided")</f>
        <v>0</v>
      </c>
      <c r="D599" s="1">
        <f>IF(B599="", "", "weeks")</f>
        <v>0</v>
      </c>
      <c r="E599" s="1">
        <f>IF(B599="", "", "urban biome")</f>
        <v>0</v>
      </c>
      <c r="F599" s="1">
        <f>IF(B599="", "", "animal-associated habitat")</f>
        <v>0</v>
      </c>
      <c r="G599" s="1">
        <f>IF(B599="", "", "mouse")</f>
        <v>0</v>
      </c>
      <c r="H599" s="1">
        <f>IF(B599="", "", "Mus musculus")</f>
        <v>0</v>
      </c>
      <c r="I599" s="1">
        <f>IF(B599="", "", "10090")</f>
        <v>0</v>
      </c>
      <c r="J599" s="2">
        <f>IF(B599="", "", "missing: not provided")</f>
        <v>0</v>
      </c>
      <c r="K599" s="1">
        <f>IF(B599="", "", "g")</f>
        <v>0</v>
      </c>
    </row>
    <row r="600" spans="1:11">
      <c r="A600">
        <f>IF(COUNTBLANK(B600:K600)&lt;&gt;COLUMNS(B600:K600),599,"")</f>
        <v>0</v>
      </c>
      <c r="C600" s="2">
        <f>IF(B600="", "", "missing: not provided")</f>
        <v>0</v>
      </c>
      <c r="D600" s="1">
        <f>IF(B600="", "", "weeks")</f>
        <v>0</v>
      </c>
      <c r="E600" s="1">
        <f>IF(B600="", "", "urban biome")</f>
        <v>0</v>
      </c>
      <c r="F600" s="1">
        <f>IF(B600="", "", "animal-associated habitat")</f>
        <v>0</v>
      </c>
      <c r="G600" s="1">
        <f>IF(B600="", "", "mouse")</f>
        <v>0</v>
      </c>
      <c r="H600" s="1">
        <f>IF(B600="", "", "Mus musculus")</f>
        <v>0</v>
      </c>
      <c r="I600" s="1">
        <f>IF(B600="", "", "10090")</f>
        <v>0</v>
      </c>
      <c r="J600" s="2">
        <f>IF(B600="", "", "missing: not provided")</f>
        <v>0</v>
      </c>
      <c r="K600" s="1">
        <f>IF(B600="", "", "g")</f>
        <v>0</v>
      </c>
    </row>
    <row r="601" spans="1:11">
      <c r="A601">
        <f>IF(COUNTBLANK(B601:K601)&lt;&gt;COLUMNS(B601:K601),600,"")</f>
        <v>0</v>
      </c>
      <c r="C601" s="2">
        <f>IF(B601="", "", "missing: not provided")</f>
        <v>0</v>
      </c>
      <c r="D601" s="1">
        <f>IF(B601="", "", "weeks")</f>
        <v>0</v>
      </c>
      <c r="E601" s="1">
        <f>IF(B601="", "", "urban biome")</f>
        <v>0</v>
      </c>
      <c r="F601" s="1">
        <f>IF(B601="", "", "animal-associated habitat")</f>
        <v>0</v>
      </c>
      <c r="G601" s="1">
        <f>IF(B601="", "", "mouse")</f>
        <v>0</v>
      </c>
      <c r="H601" s="1">
        <f>IF(B601="", "", "Mus musculus")</f>
        <v>0</v>
      </c>
      <c r="I601" s="1">
        <f>IF(B601="", "", "10090")</f>
        <v>0</v>
      </c>
      <c r="J601" s="2">
        <f>IF(B601="", "", "missing: not provided")</f>
        <v>0</v>
      </c>
      <c r="K601" s="1">
        <f>IF(B601="", "", "g")</f>
        <v>0</v>
      </c>
    </row>
    <row r="602" spans="1:11">
      <c r="A602">
        <f>IF(COUNTBLANK(B602:K602)&lt;&gt;COLUMNS(B602:K602),601,"")</f>
        <v>0</v>
      </c>
      <c r="C602" s="2">
        <f>IF(B602="", "", "missing: not provided")</f>
        <v>0</v>
      </c>
      <c r="D602" s="1">
        <f>IF(B602="", "", "weeks")</f>
        <v>0</v>
      </c>
      <c r="E602" s="1">
        <f>IF(B602="", "", "urban biome")</f>
        <v>0</v>
      </c>
      <c r="F602" s="1">
        <f>IF(B602="", "", "animal-associated habitat")</f>
        <v>0</v>
      </c>
      <c r="G602" s="1">
        <f>IF(B602="", "", "mouse")</f>
        <v>0</v>
      </c>
      <c r="H602" s="1">
        <f>IF(B602="", "", "Mus musculus")</f>
        <v>0</v>
      </c>
      <c r="I602" s="1">
        <f>IF(B602="", "", "10090")</f>
        <v>0</v>
      </c>
      <c r="J602" s="2">
        <f>IF(B602="", "", "missing: not provided")</f>
        <v>0</v>
      </c>
      <c r="K602" s="1">
        <f>IF(B602="", "", "g")</f>
        <v>0</v>
      </c>
    </row>
    <row r="603" spans="1:11">
      <c r="A603">
        <f>IF(COUNTBLANK(B603:K603)&lt;&gt;COLUMNS(B603:K603),602,"")</f>
        <v>0</v>
      </c>
      <c r="C603" s="2">
        <f>IF(B603="", "", "missing: not provided")</f>
        <v>0</v>
      </c>
      <c r="D603" s="1">
        <f>IF(B603="", "", "weeks")</f>
        <v>0</v>
      </c>
      <c r="E603" s="1">
        <f>IF(B603="", "", "urban biome")</f>
        <v>0</v>
      </c>
      <c r="F603" s="1">
        <f>IF(B603="", "", "animal-associated habitat")</f>
        <v>0</v>
      </c>
      <c r="G603" s="1">
        <f>IF(B603="", "", "mouse")</f>
        <v>0</v>
      </c>
      <c r="H603" s="1">
        <f>IF(B603="", "", "Mus musculus")</f>
        <v>0</v>
      </c>
      <c r="I603" s="1">
        <f>IF(B603="", "", "10090")</f>
        <v>0</v>
      </c>
      <c r="J603" s="2">
        <f>IF(B603="", "", "missing: not provided")</f>
        <v>0</v>
      </c>
      <c r="K603" s="1">
        <f>IF(B603="", "", "g")</f>
        <v>0</v>
      </c>
    </row>
    <row r="604" spans="1:11">
      <c r="A604">
        <f>IF(COUNTBLANK(B604:K604)&lt;&gt;COLUMNS(B604:K604),603,"")</f>
        <v>0</v>
      </c>
      <c r="C604" s="2">
        <f>IF(B604="", "", "missing: not provided")</f>
        <v>0</v>
      </c>
      <c r="D604" s="1">
        <f>IF(B604="", "", "weeks")</f>
        <v>0</v>
      </c>
      <c r="E604" s="1">
        <f>IF(B604="", "", "urban biome")</f>
        <v>0</v>
      </c>
      <c r="F604" s="1">
        <f>IF(B604="", "", "animal-associated habitat")</f>
        <v>0</v>
      </c>
      <c r="G604" s="1">
        <f>IF(B604="", "", "mouse")</f>
        <v>0</v>
      </c>
      <c r="H604" s="1">
        <f>IF(B604="", "", "Mus musculus")</f>
        <v>0</v>
      </c>
      <c r="I604" s="1">
        <f>IF(B604="", "", "10090")</f>
        <v>0</v>
      </c>
      <c r="J604" s="2">
        <f>IF(B604="", "", "missing: not provided")</f>
        <v>0</v>
      </c>
      <c r="K604" s="1">
        <f>IF(B604="", "", "g")</f>
        <v>0</v>
      </c>
    </row>
    <row r="605" spans="1:11">
      <c r="A605">
        <f>IF(COUNTBLANK(B605:K605)&lt;&gt;COLUMNS(B605:K605),604,"")</f>
        <v>0</v>
      </c>
      <c r="C605" s="2">
        <f>IF(B605="", "", "missing: not provided")</f>
        <v>0</v>
      </c>
      <c r="D605" s="1">
        <f>IF(B605="", "", "weeks")</f>
        <v>0</v>
      </c>
      <c r="E605" s="1">
        <f>IF(B605="", "", "urban biome")</f>
        <v>0</v>
      </c>
      <c r="F605" s="1">
        <f>IF(B605="", "", "animal-associated habitat")</f>
        <v>0</v>
      </c>
      <c r="G605" s="1">
        <f>IF(B605="", "", "mouse")</f>
        <v>0</v>
      </c>
      <c r="H605" s="1">
        <f>IF(B605="", "", "Mus musculus")</f>
        <v>0</v>
      </c>
      <c r="I605" s="1">
        <f>IF(B605="", "", "10090")</f>
        <v>0</v>
      </c>
      <c r="J605" s="2">
        <f>IF(B605="", "", "missing: not provided")</f>
        <v>0</v>
      </c>
      <c r="K605" s="1">
        <f>IF(B605="", "", "g")</f>
        <v>0</v>
      </c>
    </row>
    <row r="606" spans="1:11">
      <c r="A606">
        <f>IF(COUNTBLANK(B606:K606)&lt;&gt;COLUMNS(B606:K606),605,"")</f>
        <v>0</v>
      </c>
      <c r="C606" s="2">
        <f>IF(B606="", "", "missing: not provided")</f>
        <v>0</v>
      </c>
      <c r="D606" s="1">
        <f>IF(B606="", "", "weeks")</f>
        <v>0</v>
      </c>
      <c r="E606" s="1">
        <f>IF(B606="", "", "urban biome")</f>
        <v>0</v>
      </c>
      <c r="F606" s="1">
        <f>IF(B606="", "", "animal-associated habitat")</f>
        <v>0</v>
      </c>
      <c r="G606" s="1">
        <f>IF(B606="", "", "mouse")</f>
        <v>0</v>
      </c>
      <c r="H606" s="1">
        <f>IF(B606="", "", "Mus musculus")</f>
        <v>0</v>
      </c>
      <c r="I606" s="1">
        <f>IF(B606="", "", "10090")</f>
        <v>0</v>
      </c>
      <c r="J606" s="2">
        <f>IF(B606="", "", "missing: not provided")</f>
        <v>0</v>
      </c>
      <c r="K606" s="1">
        <f>IF(B606="", "", "g")</f>
        <v>0</v>
      </c>
    </row>
    <row r="607" spans="1:11">
      <c r="A607">
        <f>IF(COUNTBLANK(B607:K607)&lt;&gt;COLUMNS(B607:K607),606,"")</f>
        <v>0</v>
      </c>
      <c r="C607" s="2">
        <f>IF(B607="", "", "missing: not provided")</f>
        <v>0</v>
      </c>
      <c r="D607" s="1">
        <f>IF(B607="", "", "weeks")</f>
        <v>0</v>
      </c>
      <c r="E607" s="1">
        <f>IF(B607="", "", "urban biome")</f>
        <v>0</v>
      </c>
      <c r="F607" s="1">
        <f>IF(B607="", "", "animal-associated habitat")</f>
        <v>0</v>
      </c>
      <c r="G607" s="1">
        <f>IF(B607="", "", "mouse")</f>
        <v>0</v>
      </c>
      <c r="H607" s="1">
        <f>IF(B607="", "", "Mus musculus")</f>
        <v>0</v>
      </c>
      <c r="I607" s="1">
        <f>IF(B607="", "", "10090")</f>
        <v>0</v>
      </c>
      <c r="J607" s="2">
        <f>IF(B607="", "", "missing: not provided")</f>
        <v>0</v>
      </c>
      <c r="K607" s="1">
        <f>IF(B607="", "", "g")</f>
        <v>0</v>
      </c>
    </row>
    <row r="608" spans="1:11">
      <c r="A608">
        <f>IF(COUNTBLANK(B608:K608)&lt;&gt;COLUMNS(B608:K608),607,"")</f>
        <v>0</v>
      </c>
      <c r="C608" s="2">
        <f>IF(B608="", "", "missing: not provided")</f>
        <v>0</v>
      </c>
      <c r="D608" s="1">
        <f>IF(B608="", "", "weeks")</f>
        <v>0</v>
      </c>
      <c r="E608" s="1">
        <f>IF(B608="", "", "urban biome")</f>
        <v>0</v>
      </c>
      <c r="F608" s="1">
        <f>IF(B608="", "", "animal-associated habitat")</f>
        <v>0</v>
      </c>
      <c r="G608" s="1">
        <f>IF(B608="", "", "mouse")</f>
        <v>0</v>
      </c>
      <c r="H608" s="1">
        <f>IF(B608="", "", "Mus musculus")</f>
        <v>0</v>
      </c>
      <c r="I608" s="1">
        <f>IF(B608="", "", "10090")</f>
        <v>0</v>
      </c>
      <c r="J608" s="2">
        <f>IF(B608="", "", "missing: not provided")</f>
        <v>0</v>
      </c>
      <c r="K608" s="1">
        <f>IF(B608="", "", "g")</f>
        <v>0</v>
      </c>
    </row>
    <row r="609" spans="1:11">
      <c r="A609">
        <f>IF(COUNTBLANK(B609:K609)&lt;&gt;COLUMNS(B609:K609),608,"")</f>
        <v>0</v>
      </c>
      <c r="C609" s="2">
        <f>IF(B609="", "", "missing: not provided")</f>
        <v>0</v>
      </c>
      <c r="D609" s="1">
        <f>IF(B609="", "", "weeks")</f>
        <v>0</v>
      </c>
      <c r="E609" s="1">
        <f>IF(B609="", "", "urban biome")</f>
        <v>0</v>
      </c>
      <c r="F609" s="1">
        <f>IF(B609="", "", "animal-associated habitat")</f>
        <v>0</v>
      </c>
      <c r="G609" s="1">
        <f>IF(B609="", "", "mouse")</f>
        <v>0</v>
      </c>
      <c r="H609" s="1">
        <f>IF(B609="", "", "Mus musculus")</f>
        <v>0</v>
      </c>
      <c r="I609" s="1">
        <f>IF(B609="", "", "10090")</f>
        <v>0</v>
      </c>
      <c r="J609" s="2">
        <f>IF(B609="", "", "missing: not provided")</f>
        <v>0</v>
      </c>
      <c r="K609" s="1">
        <f>IF(B609="", "", "g")</f>
        <v>0</v>
      </c>
    </row>
    <row r="610" spans="1:11">
      <c r="A610">
        <f>IF(COUNTBLANK(B610:K610)&lt;&gt;COLUMNS(B610:K610),609,"")</f>
        <v>0</v>
      </c>
      <c r="C610" s="2">
        <f>IF(B610="", "", "missing: not provided")</f>
        <v>0</v>
      </c>
      <c r="D610" s="1">
        <f>IF(B610="", "", "weeks")</f>
        <v>0</v>
      </c>
      <c r="E610" s="1">
        <f>IF(B610="", "", "urban biome")</f>
        <v>0</v>
      </c>
      <c r="F610" s="1">
        <f>IF(B610="", "", "animal-associated habitat")</f>
        <v>0</v>
      </c>
      <c r="G610" s="1">
        <f>IF(B610="", "", "mouse")</f>
        <v>0</v>
      </c>
      <c r="H610" s="1">
        <f>IF(B610="", "", "Mus musculus")</f>
        <v>0</v>
      </c>
      <c r="I610" s="1">
        <f>IF(B610="", "", "10090")</f>
        <v>0</v>
      </c>
      <c r="J610" s="2">
        <f>IF(B610="", "", "missing: not provided")</f>
        <v>0</v>
      </c>
      <c r="K610" s="1">
        <f>IF(B610="", "", "g")</f>
        <v>0</v>
      </c>
    </row>
    <row r="611" spans="1:11">
      <c r="A611">
        <f>IF(COUNTBLANK(B611:K611)&lt;&gt;COLUMNS(B611:K611),610,"")</f>
        <v>0</v>
      </c>
      <c r="C611" s="2">
        <f>IF(B611="", "", "missing: not provided")</f>
        <v>0</v>
      </c>
      <c r="D611" s="1">
        <f>IF(B611="", "", "weeks")</f>
        <v>0</v>
      </c>
      <c r="E611" s="1">
        <f>IF(B611="", "", "urban biome")</f>
        <v>0</v>
      </c>
      <c r="F611" s="1">
        <f>IF(B611="", "", "animal-associated habitat")</f>
        <v>0</v>
      </c>
      <c r="G611" s="1">
        <f>IF(B611="", "", "mouse")</f>
        <v>0</v>
      </c>
      <c r="H611" s="1">
        <f>IF(B611="", "", "Mus musculus")</f>
        <v>0</v>
      </c>
      <c r="I611" s="1">
        <f>IF(B611="", "", "10090")</f>
        <v>0</v>
      </c>
      <c r="J611" s="2">
        <f>IF(B611="", "", "missing: not provided")</f>
        <v>0</v>
      </c>
      <c r="K611" s="1">
        <f>IF(B611="", "", "g")</f>
        <v>0</v>
      </c>
    </row>
    <row r="612" spans="1:11">
      <c r="A612">
        <f>IF(COUNTBLANK(B612:K612)&lt;&gt;COLUMNS(B612:K612),611,"")</f>
        <v>0</v>
      </c>
      <c r="C612" s="2">
        <f>IF(B612="", "", "missing: not provided")</f>
        <v>0</v>
      </c>
      <c r="D612" s="1">
        <f>IF(B612="", "", "weeks")</f>
        <v>0</v>
      </c>
      <c r="E612" s="1">
        <f>IF(B612="", "", "urban biome")</f>
        <v>0</v>
      </c>
      <c r="F612" s="1">
        <f>IF(B612="", "", "animal-associated habitat")</f>
        <v>0</v>
      </c>
      <c r="G612" s="1">
        <f>IF(B612="", "", "mouse")</f>
        <v>0</v>
      </c>
      <c r="H612" s="1">
        <f>IF(B612="", "", "Mus musculus")</f>
        <v>0</v>
      </c>
      <c r="I612" s="1">
        <f>IF(B612="", "", "10090")</f>
        <v>0</v>
      </c>
      <c r="J612" s="2">
        <f>IF(B612="", "", "missing: not provided")</f>
        <v>0</v>
      </c>
      <c r="K612" s="1">
        <f>IF(B612="", "", "g")</f>
        <v>0</v>
      </c>
    </row>
    <row r="613" spans="1:11">
      <c r="A613">
        <f>IF(COUNTBLANK(B613:K613)&lt;&gt;COLUMNS(B613:K613),612,"")</f>
        <v>0</v>
      </c>
      <c r="C613" s="2">
        <f>IF(B613="", "", "missing: not provided")</f>
        <v>0</v>
      </c>
      <c r="D613" s="1">
        <f>IF(B613="", "", "weeks")</f>
        <v>0</v>
      </c>
      <c r="E613" s="1">
        <f>IF(B613="", "", "urban biome")</f>
        <v>0</v>
      </c>
      <c r="F613" s="1">
        <f>IF(B613="", "", "animal-associated habitat")</f>
        <v>0</v>
      </c>
      <c r="G613" s="1">
        <f>IF(B613="", "", "mouse")</f>
        <v>0</v>
      </c>
      <c r="H613" s="1">
        <f>IF(B613="", "", "Mus musculus")</f>
        <v>0</v>
      </c>
      <c r="I613" s="1">
        <f>IF(B613="", "", "10090")</f>
        <v>0</v>
      </c>
      <c r="J613" s="2">
        <f>IF(B613="", "", "missing: not provided")</f>
        <v>0</v>
      </c>
      <c r="K613" s="1">
        <f>IF(B613="", "", "g")</f>
        <v>0</v>
      </c>
    </row>
    <row r="614" spans="1:11">
      <c r="A614">
        <f>IF(COUNTBLANK(B614:K614)&lt;&gt;COLUMNS(B614:K614),613,"")</f>
        <v>0</v>
      </c>
      <c r="C614" s="2">
        <f>IF(B614="", "", "missing: not provided")</f>
        <v>0</v>
      </c>
      <c r="D614" s="1">
        <f>IF(B614="", "", "weeks")</f>
        <v>0</v>
      </c>
      <c r="E614" s="1">
        <f>IF(B614="", "", "urban biome")</f>
        <v>0</v>
      </c>
      <c r="F614" s="1">
        <f>IF(B614="", "", "animal-associated habitat")</f>
        <v>0</v>
      </c>
      <c r="G614" s="1">
        <f>IF(B614="", "", "mouse")</f>
        <v>0</v>
      </c>
      <c r="H614" s="1">
        <f>IF(B614="", "", "Mus musculus")</f>
        <v>0</v>
      </c>
      <c r="I614" s="1">
        <f>IF(B614="", "", "10090")</f>
        <v>0</v>
      </c>
      <c r="J614" s="2">
        <f>IF(B614="", "", "missing: not provided")</f>
        <v>0</v>
      </c>
      <c r="K614" s="1">
        <f>IF(B614="", "", "g")</f>
        <v>0</v>
      </c>
    </row>
    <row r="615" spans="1:11">
      <c r="A615">
        <f>IF(COUNTBLANK(B615:K615)&lt;&gt;COLUMNS(B615:K615),614,"")</f>
        <v>0</v>
      </c>
      <c r="C615" s="2">
        <f>IF(B615="", "", "missing: not provided")</f>
        <v>0</v>
      </c>
      <c r="D615" s="1">
        <f>IF(B615="", "", "weeks")</f>
        <v>0</v>
      </c>
      <c r="E615" s="1">
        <f>IF(B615="", "", "urban biome")</f>
        <v>0</v>
      </c>
      <c r="F615" s="1">
        <f>IF(B615="", "", "animal-associated habitat")</f>
        <v>0</v>
      </c>
      <c r="G615" s="1">
        <f>IF(B615="", "", "mouse")</f>
        <v>0</v>
      </c>
      <c r="H615" s="1">
        <f>IF(B615="", "", "Mus musculus")</f>
        <v>0</v>
      </c>
      <c r="I615" s="1">
        <f>IF(B615="", "", "10090")</f>
        <v>0</v>
      </c>
      <c r="J615" s="2">
        <f>IF(B615="", "", "missing: not provided")</f>
        <v>0</v>
      </c>
      <c r="K615" s="1">
        <f>IF(B615="", "", "g")</f>
        <v>0</v>
      </c>
    </row>
    <row r="616" spans="1:11">
      <c r="A616">
        <f>IF(COUNTBLANK(B616:K616)&lt;&gt;COLUMNS(B616:K616),615,"")</f>
        <v>0</v>
      </c>
      <c r="C616" s="2">
        <f>IF(B616="", "", "missing: not provided")</f>
        <v>0</v>
      </c>
      <c r="D616" s="1">
        <f>IF(B616="", "", "weeks")</f>
        <v>0</v>
      </c>
      <c r="E616" s="1">
        <f>IF(B616="", "", "urban biome")</f>
        <v>0</v>
      </c>
      <c r="F616" s="1">
        <f>IF(B616="", "", "animal-associated habitat")</f>
        <v>0</v>
      </c>
      <c r="G616" s="1">
        <f>IF(B616="", "", "mouse")</f>
        <v>0</v>
      </c>
      <c r="H616" s="1">
        <f>IF(B616="", "", "Mus musculus")</f>
        <v>0</v>
      </c>
      <c r="I616" s="1">
        <f>IF(B616="", "", "10090")</f>
        <v>0</v>
      </c>
      <c r="J616" s="2">
        <f>IF(B616="", "", "missing: not provided")</f>
        <v>0</v>
      </c>
      <c r="K616" s="1">
        <f>IF(B616="", "", "g")</f>
        <v>0</v>
      </c>
    </row>
    <row r="617" spans="1:11">
      <c r="A617">
        <f>IF(COUNTBLANK(B617:K617)&lt;&gt;COLUMNS(B617:K617),616,"")</f>
        <v>0</v>
      </c>
      <c r="C617" s="2">
        <f>IF(B617="", "", "missing: not provided")</f>
        <v>0</v>
      </c>
      <c r="D617" s="1">
        <f>IF(B617="", "", "weeks")</f>
        <v>0</v>
      </c>
      <c r="E617" s="1">
        <f>IF(B617="", "", "urban biome")</f>
        <v>0</v>
      </c>
      <c r="F617" s="1">
        <f>IF(B617="", "", "animal-associated habitat")</f>
        <v>0</v>
      </c>
      <c r="G617" s="1">
        <f>IF(B617="", "", "mouse")</f>
        <v>0</v>
      </c>
      <c r="H617" s="1">
        <f>IF(B617="", "", "Mus musculus")</f>
        <v>0</v>
      </c>
      <c r="I617" s="1">
        <f>IF(B617="", "", "10090")</f>
        <v>0</v>
      </c>
      <c r="J617" s="2">
        <f>IF(B617="", "", "missing: not provided")</f>
        <v>0</v>
      </c>
      <c r="K617" s="1">
        <f>IF(B617="", "", "g")</f>
        <v>0</v>
      </c>
    </row>
    <row r="618" spans="1:11">
      <c r="A618">
        <f>IF(COUNTBLANK(B618:K618)&lt;&gt;COLUMNS(B618:K618),617,"")</f>
        <v>0</v>
      </c>
      <c r="C618" s="2">
        <f>IF(B618="", "", "missing: not provided")</f>
        <v>0</v>
      </c>
      <c r="D618" s="1">
        <f>IF(B618="", "", "weeks")</f>
        <v>0</v>
      </c>
      <c r="E618" s="1">
        <f>IF(B618="", "", "urban biome")</f>
        <v>0</v>
      </c>
      <c r="F618" s="1">
        <f>IF(B618="", "", "animal-associated habitat")</f>
        <v>0</v>
      </c>
      <c r="G618" s="1">
        <f>IF(B618="", "", "mouse")</f>
        <v>0</v>
      </c>
      <c r="H618" s="1">
        <f>IF(B618="", "", "Mus musculus")</f>
        <v>0</v>
      </c>
      <c r="I618" s="1">
        <f>IF(B618="", "", "10090")</f>
        <v>0</v>
      </c>
      <c r="J618" s="2">
        <f>IF(B618="", "", "missing: not provided")</f>
        <v>0</v>
      </c>
      <c r="K618" s="1">
        <f>IF(B618="", "", "g")</f>
        <v>0</v>
      </c>
    </row>
    <row r="619" spans="1:11">
      <c r="A619">
        <f>IF(COUNTBLANK(B619:K619)&lt;&gt;COLUMNS(B619:K619),618,"")</f>
        <v>0</v>
      </c>
      <c r="C619" s="2">
        <f>IF(B619="", "", "missing: not provided")</f>
        <v>0</v>
      </c>
      <c r="D619" s="1">
        <f>IF(B619="", "", "weeks")</f>
        <v>0</v>
      </c>
      <c r="E619" s="1">
        <f>IF(B619="", "", "urban biome")</f>
        <v>0</v>
      </c>
      <c r="F619" s="1">
        <f>IF(B619="", "", "animal-associated habitat")</f>
        <v>0</v>
      </c>
      <c r="G619" s="1">
        <f>IF(B619="", "", "mouse")</f>
        <v>0</v>
      </c>
      <c r="H619" s="1">
        <f>IF(B619="", "", "Mus musculus")</f>
        <v>0</v>
      </c>
      <c r="I619" s="1">
        <f>IF(B619="", "", "10090")</f>
        <v>0</v>
      </c>
      <c r="J619" s="2">
        <f>IF(B619="", "", "missing: not provided")</f>
        <v>0</v>
      </c>
      <c r="K619" s="1">
        <f>IF(B619="", "", "g")</f>
        <v>0</v>
      </c>
    </row>
    <row r="620" spans="1:11">
      <c r="A620">
        <f>IF(COUNTBLANK(B620:K620)&lt;&gt;COLUMNS(B620:K620),619,"")</f>
        <v>0</v>
      </c>
      <c r="C620" s="2">
        <f>IF(B620="", "", "missing: not provided")</f>
        <v>0</v>
      </c>
      <c r="D620" s="1">
        <f>IF(B620="", "", "weeks")</f>
        <v>0</v>
      </c>
      <c r="E620" s="1">
        <f>IF(B620="", "", "urban biome")</f>
        <v>0</v>
      </c>
      <c r="F620" s="1">
        <f>IF(B620="", "", "animal-associated habitat")</f>
        <v>0</v>
      </c>
      <c r="G620" s="1">
        <f>IF(B620="", "", "mouse")</f>
        <v>0</v>
      </c>
      <c r="H620" s="1">
        <f>IF(B620="", "", "Mus musculus")</f>
        <v>0</v>
      </c>
      <c r="I620" s="1">
        <f>IF(B620="", "", "10090")</f>
        <v>0</v>
      </c>
      <c r="J620" s="2">
        <f>IF(B620="", "", "missing: not provided")</f>
        <v>0</v>
      </c>
      <c r="K620" s="1">
        <f>IF(B620="", "", "g")</f>
        <v>0</v>
      </c>
    </row>
    <row r="621" spans="1:11">
      <c r="A621">
        <f>IF(COUNTBLANK(B621:K621)&lt;&gt;COLUMNS(B621:K621),620,"")</f>
        <v>0</v>
      </c>
      <c r="C621" s="2">
        <f>IF(B621="", "", "missing: not provided")</f>
        <v>0</v>
      </c>
      <c r="D621" s="1">
        <f>IF(B621="", "", "weeks")</f>
        <v>0</v>
      </c>
      <c r="E621" s="1">
        <f>IF(B621="", "", "urban biome")</f>
        <v>0</v>
      </c>
      <c r="F621" s="1">
        <f>IF(B621="", "", "animal-associated habitat")</f>
        <v>0</v>
      </c>
      <c r="G621" s="1">
        <f>IF(B621="", "", "mouse")</f>
        <v>0</v>
      </c>
      <c r="H621" s="1">
        <f>IF(B621="", "", "Mus musculus")</f>
        <v>0</v>
      </c>
      <c r="I621" s="1">
        <f>IF(B621="", "", "10090")</f>
        <v>0</v>
      </c>
      <c r="J621" s="2">
        <f>IF(B621="", "", "missing: not provided")</f>
        <v>0</v>
      </c>
      <c r="K621" s="1">
        <f>IF(B621="", "", "g")</f>
        <v>0</v>
      </c>
    </row>
    <row r="622" spans="1:11">
      <c r="A622">
        <f>IF(COUNTBLANK(B622:K622)&lt;&gt;COLUMNS(B622:K622),621,"")</f>
        <v>0</v>
      </c>
      <c r="C622" s="2">
        <f>IF(B622="", "", "missing: not provided")</f>
        <v>0</v>
      </c>
      <c r="D622" s="1">
        <f>IF(B622="", "", "weeks")</f>
        <v>0</v>
      </c>
      <c r="E622" s="1">
        <f>IF(B622="", "", "urban biome")</f>
        <v>0</v>
      </c>
      <c r="F622" s="1">
        <f>IF(B622="", "", "animal-associated habitat")</f>
        <v>0</v>
      </c>
      <c r="G622" s="1">
        <f>IF(B622="", "", "mouse")</f>
        <v>0</v>
      </c>
      <c r="H622" s="1">
        <f>IF(B622="", "", "Mus musculus")</f>
        <v>0</v>
      </c>
      <c r="I622" s="1">
        <f>IF(B622="", "", "10090")</f>
        <v>0</v>
      </c>
      <c r="J622" s="2">
        <f>IF(B622="", "", "missing: not provided")</f>
        <v>0</v>
      </c>
      <c r="K622" s="1">
        <f>IF(B622="", "", "g")</f>
        <v>0</v>
      </c>
    </row>
    <row r="623" spans="1:11">
      <c r="A623">
        <f>IF(COUNTBLANK(B623:K623)&lt;&gt;COLUMNS(B623:K623),622,"")</f>
        <v>0</v>
      </c>
      <c r="C623" s="2">
        <f>IF(B623="", "", "missing: not provided")</f>
        <v>0</v>
      </c>
      <c r="D623" s="1">
        <f>IF(B623="", "", "weeks")</f>
        <v>0</v>
      </c>
      <c r="E623" s="1">
        <f>IF(B623="", "", "urban biome")</f>
        <v>0</v>
      </c>
      <c r="F623" s="1">
        <f>IF(B623="", "", "animal-associated habitat")</f>
        <v>0</v>
      </c>
      <c r="G623" s="1">
        <f>IF(B623="", "", "mouse")</f>
        <v>0</v>
      </c>
      <c r="H623" s="1">
        <f>IF(B623="", "", "Mus musculus")</f>
        <v>0</v>
      </c>
      <c r="I623" s="1">
        <f>IF(B623="", "", "10090")</f>
        <v>0</v>
      </c>
      <c r="J623" s="2">
        <f>IF(B623="", "", "missing: not provided")</f>
        <v>0</v>
      </c>
      <c r="K623" s="1">
        <f>IF(B623="", "", "g")</f>
        <v>0</v>
      </c>
    </row>
    <row r="624" spans="1:11">
      <c r="A624">
        <f>IF(COUNTBLANK(B624:K624)&lt;&gt;COLUMNS(B624:K624),623,"")</f>
        <v>0</v>
      </c>
      <c r="C624" s="2">
        <f>IF(B624="", "", "missing: not provided")</f>
        <v>0</v>
      </c>
      <c r="D624" s="1">
        <f>IF(B624="", "", "weeks")</f>
        <v>0</v>
      </c>
      <c r="E624" s="1">
        <f>IF(B624="", "", "urban biome")</f>
        <v>0</v>
      </c>
      <c r="F624" s="1">
        <f>IF(B624="", "", "animal-associated habitat")</f>
        <v>0</v>
      </c>
      <c r="G624" s="1">
        <f>IF(B624="", "", "mouse")</f>
        <v>0</v>
      </c>
      <c r="H624" s="1">
        <f>IF(B624="", "", "Mus musculus")</f>
        <v>0</v>
      </c>
      <c r="I624" s="1">
        <f>IF(B624="", "", "10090")</f>
        <v>0</v>
      </c>
      <c r="J624" s="2">
        <f>IF(B624="", "", "missing: not provided")</f>
        <v>0</v>
      </c>
      <c r="K624" s="1">
        <f>IF(B624="", "", "g")</f>
        <v>0</v>
      </c>
    </row>
    <row r="625" spans="1:11">
      <c r="A625">
        <f>IF(COUNTBLANK(B625:K625)&lt;&gt;COLUMNS(B625:K625),624,"")</f>
        <v>0</v>
      </c>
      <c r="C625" s="2">
        <f>IF(B625="", "", "missing: not provided")</f>
        <v>0</v>
      </c>
      <c r="D625" s="1">
        <f>IF(B625="", "", "weeks")</f>
        <v>0</v>
      </c>
      <c r="E625" s="1">
        <f>IF(B625="", "", "urban biome")</f>
        <v>0</v>
      </c>
      <c r="F625" s="1">
        <f>IF(B625="", "", "animal-associated habitat")</f>
        <v>0</v>
      </c>
      <c r="G625" s="1">
        <f>IF(B625="", "", "mouse")</f>
        <v>0</v>
      </c>
      <c r="H625" s="1">
        <f>IF(B625="", "", "Mus musculus")</f>
        <v>0</v>
      </c>
      <c r="I625" s="1">
        <f>IF(B625="", "", "10090")</f>
        <v>0</v>
      </c>
      <c r="J625" s="2">
        <f>IF(B625="", "", "missing: not provided")</f>
        <v>0</v>
      </c>
      <c r="K625" s="1">
        <f>IF(B625="", "", "g")</f>
        <v>0</v>
      </c>
    </row>
    <row r="626" spans="1:11">
      <c r="A626">
        <f>IF(COUNTBLANK(B626:K626)&lt;&gt;COLUMNS(B626:K626),625,"")</f>
        <v>0</v>
      </c>
      <c r="C626" s="2">
        <f>IF(B626="", "", "missing: not provided")</f>
        <v>0</v>
      </c>
      <c r="D626" s="1">
        <f>IF(B626="", "", "weeks")</f>
        <v>0</v>
      </c>
      <c r="E626" s="1">
        <f>IF(B626="", "", "urban biome")</f>
        <v>0</v>
      </c>
      <c r="F626" s="1">
        <f>IF(B626="", "", "animal-associated habitat")</f>
        <v>0</v>
      </c>
      <c r="G626" s="1">
        <f>IF(B626="", "", "mouse")</f>
        <v>0</v>
      </c>
      <c r="H626" s="1">
        <f>IF(B626="", "", "Mus musculus")</f>
        <v>0</v>
      </c>
      <c r="I626" s="1">
        <f>IF(B626="", "", "10090")</f>
        <v>0</v>
      </c>
      <c r="J626" s="2">
        <f>IF(B626="", "", "missing: not provided")</f>
        <v>0</v>
      </c>
      <c r="K626" s="1">
        <f>IF(B626="", "", "g")</f>
        <v>0</v>
      </c>
    </row>
    <row r="627" spans="1:11">
      <c r="A627">
        <f>IF(COUNTBLANK(B627:K627)&lt;&gt;COLUMNS(B627:K627),626,"")</f>
        <v>0</v>
      </c>
      <c r="C627" s="2">
        <f>IF(B627="", "", "missing: not provided")</f>
        <v>0</v>
      </c>
      <c r="D627" s="1">
        <f>IF(B627="", "", "weeks")</f>
        <v>0</v>
      </c>
      <c r="E627" s="1">
        <f>IF(B627="", "", "urban biome")</f>
        <v>0</v>
      </c>
      <c r="F627" s="1">
        <f>IF(B627="", "", "animal-associated habitat")</f>
        <v>0</v>
      </c>
      <c r="G627" s="1">
        <f>IF(B627="", "", "mouse")</f>
        <v>0</v>
      </c>
      <c r="H627" s="1">
        <f>IF(B627="", "", "Mus musculus")</f>
        <v>0</v>
      </c>
      <c r="I627" s="1">
        <f>IF(B627="", "", "10090")</f>
        <v>0</v>
      </c>
      <c r="J627" s="2">
        <f>IF(B627="", "", "missing: not provided")</f>
        <v>0</v>
      </c>
      <c r="K627" s="1">
        <f>IF(B627="", "", "g")</f>
        <v>0</v>
      </c>
    </row>
    <row r="628" spans="1:11">
      <c r="A628">
        <f>IF(COUNTBLANK(B628:K628)&lt;&gt;COLUMNS(B628:K628),627,"")</f>
        <v>0</v>
      </c>
      <c r="C628" s="2">
        <f>IF(B628="", "", "missing: not provided")</f>
        <v>0</v>
      </c>
      <c r="D628" s="1">
        <f>IF(B628="", "", "weeks")</f>
        <v>0</v>
      </c>
      <c r="E628" s="1">
        <f>IF(B628="", "", "urban biome")</f>
        <v>0</v>
      </c>
      <c r="F628" s="1">
        <f>IF(B628="", "", "animal-associated habitat")</f>
        <v>0</v>
      </c>
      <c r="G628" s="1">
        <f>IF(B628="", "", "mouse")</f>
        <v>0</v>
      </c>
      <c r="H628" s="1">
        <f>IF(B628="", "", "Mus musculus")</f>
        <v>0</v>
      </c>
      <c r="I628" s="1">
        <f>IF(B628="", "", "10090")</f>
        <v>0</v>
      </c>
      <c r="J628" s="2">
        <f>IF(B628="", "", "missing: not provided")</f>
        <v>0</v>
      </c>
      <c r="K628" s="1">
        <f>IF(B628="", "", "g")</f>
        <v>0</v>
      </c>
    </row>
    <row r="629" spans="1:11">
      <c r="A629">
        <f>IF(COUNTBLANK(B629:K629)&lt;&gt;COLUMNS(B629:K629),628,"")</f>
        <v>0</v>
      </c>
      <c r="C629" s="2">
        <f>IF(B629="", "", "missing: not provided")</f>
        <v>0</v>
      </c>
      <c r="D629" s="1">
        <f>IF(B629="", "", "weeks")</f>
        <v>0</v>
      </c>
      <c r="E629" s="1">
        <f>IF(B629="", "", "urban biome")</f>
        <v>0</v>
      </c>
      <c r="F629" s="1">
        <f>IF(B629="", "", "animal-associated habitat")</f>
        <v>0</v>
      </c>
      <c r="G629" s="1">
        <f>IF(B629="", "", "mouse")</f>
        <v>0</v>
      </c>
      <c r="H629" s="1">
        <f>IF(B629="", "", "Mus musculus")</f>
        <v>0</v>
      </c>
      <c r="I629" s="1">
        <f>IF(B629="", "", "10090")</f>
        <v>0</v>
      </c>
      <c r="J629" s="2">
        <f>IF(B629="", "", "missing: not provided")</f>
        <v>0</v>
      </c>
      <c r="K629" s="1">
        <f>IF(B629="", "", "g")</f>
        <v>0</v>
      </c>
    </row>
    <row r="630" spans="1:11">
      <c r="A630">
        <f>IF(COUNTBLANK(B630:K630)&lt;&gt;COLUMNS(B630:K630),629,"")</f>
        <v>0</v>
      </c>
      <c r="C630" s="2">
        <f>IF(B630="", "", "missing: not provided")</f>
        <v>0</v>
      </c>
      <c r="D630" s="1">
        <f>IF(B630="", "", "weeks")</f>
        <v>0</v>
      </c>
      <c r="E630" s="1">
        <f>IF(B630="", "", "urban biome")</f>
        <v>0</v>
      </c>
      <c r="F630" s="1">
        <f>IF(B630="", "", "animal-associated habitat")</f>
        <v>0</v>
      </c>
      <c r="G630" s="1">
        <f>IF(B630="", "", "mouse")</f>
        <v>0</v>
      </c>
      <c r="H630" s="1">
        <f>IF(B630="", "", "Mus musculus")</f>
        <v>0</v>
      </c>
      <c r="I630" s="1">
        <f>IF(B630="", "", "10090")</f>
        <v>0</v>
      </c>
      <c r="J630" s="2">
        <f>IF(B630="", "", "missing: not provided")</f>
        <v>0</v>
      </c>
      <c r="K630" s="1">
        <f>IF(B630="", "", "g")</f>
        <v>0</v>
      </c>
    </row>
    <row r="631" spans="1:11">
      <c r="A631">
        <f>IF(COUNTBLANK(B631:K631)&lt;&gt;COLUMNS(B631:K631),630,"")</f>
        <v>0</v>
      </c>
      <c r="C631" s="2">
        <f>IF(B631="", "", "missing: not provided")</f>
        <v>0</v>
      </c>
      <c r="D631" s="1">
        <f>IF(B631="", "", "weeks")</f>
        <v>0</v>
      </c>
      <c r="E631" s="1">
        <f>IF(B631="", "", "urban biome")</f>
        <v>0</v>
      </c>
      <c r="F631" s="1">
        <f>IF(B631="", "", "animal-associated habitat")</f>
        <v>0</v>
      </c>
      <c r="G631" s="1">
        <f>IF(B631="", "", "mouse")</f>
        <v>0</v>
      </c>
      <c r="H631" s="1">
        <f>IF(B631="", "", "Mus musculus")</f>
        <v>0</v>
      </c>
      <c r="I631" s="1">
        <f>IF(B631="", "", "10090")</f>
        <v>0</v>
      </c>
      <c r="J631" s="2">
        <f>IF(B631="", "", "missing: not provided")</f>
        <v>0</v>
      </c>
      <c r="K631" s="1">
        <f>IF(B631="", "", "g")</f>
        <v>0</v>
      </c>
    </row>
    <row r="632" spans="1:11">
      <c r="A632">
        <f>IF(COUNTBLANK(B632:K632)&lt;&gt;COLUMNS(B632:K632),631,"")</f>
        <v>0</v>
      </c>
      <c r="C632" s="2">
        <f>IF(B632="", "", "missing: not provided")</f>
        <v>0</v>
      </c>
      <c r="D632" s="1">
        <f>IF(B632="", "", "weeks")</f>
        <v>0</v>
      </c>
      <c r="E632" s="1">
        <f>IF(B632="", "", "urban biome")</f>
        <v>0</v>
      </c>
      <c r="F632" s="1">
        <f>IF(B632="", "", "animal-associated habitat")</f>
        <v>0</v>
      </c>
      <c r="G632" s="1">
        <f>IF(B632="", "", "mouse")</f>
        <v>0</v>
      </c>
      <c r="H632" s="1">
        <f>IF(B632="", "", "Mus musculus")</f>
        <v>0</v>
      </c>
      <c r="I632" s="1">
        <f>IF(B632="", "", "10090")</f>
        <v>0</v>
      </c>
      <c r="J632" s="2">
        <f>IF(B632="", "", "missing: not provided")</f>
        <v>0</v>
      </c>
      <c r="K632" s="1">
        <f>IF(B632="", "", "g")</f>
        <v>0</v>
      </c>
    </row>
    <row r="633" spans="1:11">
      <c r="A633">
        <f>IF(COUNTBLANK(B633:K633)&lt;&gt;COLUMNS(B633:K633),632,"")</f>
        <v>0</v>
      </c>
      <c r="C633" s="2">
        <f>IF(B633="", "", "missing: not provided")</f>
        <v>0</v>
      </c>
      <c r="D633" s="1">
        <f>IF(B633="", "", "weeks")</f>
        <v>0</v>
      </c>
      <c r="E633" s="1">
        <f>IF(B633="", "", "urban biome")</f>
        <v>0</v>
      </c>
      <c r="F633" s="1">
        <f>IF(B633="", "", "animal-associated habitat")</f>
        <v>0</v>
      </c>
      <c r="G633" s="1">
        <f>IF(B633="", "", "mouse")</f>
        <v>0</v>
      </c>
      <c r="H633" s="1">
        <f>IF(B633="", "", "Mus musculus")</f>
        <v>0</v>
      </c>
      <c r="I633" s="1">
        <f>IF(B633="", "", "10090")</f>
        <v>0</v>
      </c>
      <c r="J633" s="2">
        <f>IF(B633="", "", "missing: not provided")</f>
        <v>0</v>
      </c>
      <c r="K633" s="1">
        <f>IF(B633="", "", "g")</f>
        <v>0</v>
      </c>
    </row>
    <row r="634" spans="1:11">
      <c r="A634">
        <f>IF(COUNTBLANK(B634:K634)&lt;&gt;COLUMNS(B634:K634),633,"")</f>
        <v>0</v>
      </c>
      <c r="C634" s="2">
        <f>IF(B634="", "", "missing: not provided")</f>
        <v>0</v>
      </c>
      <c r="D634" s="1">
        <f>IF(B634="", "", "weeks")</f>
        <v>0</v>
      </c>
      <c r="E634" s="1">
        <f>IF(B634="", "", "urban biome")</f>
        <v>0</v>
      </c>
      <c r="F634" s="1">
        <f>IF(B634="", "", "animal-associated habitat")</f>
        <v>0</v>
      </c>
      <c r="G634" s="1">
        <f>IF(B634="", "", "mouse")</f>
        <v>0</v>
      </c>
      <c r="H634" s="1">
        <f>IF(B634="", "", "Mus musculus")</f>
        <v>0</v>
      </c>
      <c r="I634" s="1">
        <f>IF(B634="", "", "10090")</f>
        <v>0</v>
      </c>
      <c r="J634" s="2">
        <f>IF(B634="", "", "missing: not provided")</f>
        <v>0</v>
      </c>
      <c r="K634" s="1">
        <f>IF(B634="", "", "g")</f>
        <v>0</v>
      </c>
    </row>
    <row r="635" spans="1:11">
      <c r="A635">
        <f>IF(COUNTBLANK(B635:K635)&lt;&gt;COLUMNS(B635:K635),634,"")</f>
        <v>0</v>
      </c>
      <c r="C635" s="2">
        <f>IF(B635="", "", "missing: not provided")</f>
        <v>0</v>
      </c>
      <c r="D635" s="1">
        <f>IF(B635="", "", "weeks")</f>
        <v>0</v>
      </c>
      <c r="E635" s="1">
        <f>IF(B635="", "", "urban biome")</f>
        <v>0</v>
      </c>
      <c r="F635" s="1">
        <f>IF(B635="", "", "animal-associated habitat")</f>
        <v>0</v>
      </c>
      <c r="G635" s="1">
        <f>IF(B635="", "", "mouse")</f>
        <v>0</v>
      </c>
      <c r="H635" s="1">
        <f>IF(B635="", "", "Mus musculus")</f>
        <v>0</v>
      </c>
      <c r="I635" s="1">
        <f>IF(B635="", "", "10090")</f>
        <v>0</v>
      </c>
      <c r="J635" s="2">
        <f>IF(B635="", "", "missing: not provided")</f>
        <v>0</v>
      </c>
      <c r="K635" s="1">
        <f>IF(B635="", "", "g")</f>
        <v>0</v>
      </c>
    </row>
    <row r="636" spans="1:11">
      <c r="A636">
        <f>IF(COUNTBLANK(B636:K636)&lt;&gt;COLUMNS(B636:K636),635,"")</f>
        <v>0</v>
      </c>
      <c r="C636" s="2">
        <f>IF(B636="", "", "missing: not provided")</f>
        <v>0</v>
      </c>
      <c r="D636" s="1">
        <f>IF(B636="", "", "weeks")</f>
        <v>0</v>
      </c>
      <c r="E636" s="1">
        <f>IF(B636="", "", "urban biome")</f>
        <v>0</v>
      </c>
      <c r="F636" s="1">
        <f>IF(B636="", "", "animal-associated habitat")</f>
        <v>0</v>
      </c>
      <c r="G636" s="1">
        <f>IF(B636="", "", "mouse")</f>
        <v>0</v>
      </c>
      <c r="H636" s="1">
        <f>IF(B636="", "", "Mus musculus")</f>
        <v>0</v>
      </c>
      <c r="I636" s="1">
        <f>IF(B636="", "", "10090")</f>
        <v>0</v>
      </c>
      <c r="J636" s="2">
        <f>IF(B636="", "", "missing: not provided")</f>
        <v>0</v>
      </c>
      <c r="K636" s="1">
        <f>IF(B636="", "", "g")</f>
        <v>0</v>
      </c>
    </row>
    <row r="637" spans="1:11">
      <c r="A637">
        <f>IF(COUNTBLANK(B637:K637)&lt;&gt;COLUMNS(B637:K637),636,"")</f>
        <v>0</v>
      </c>
      <c r="C637" s="2">
        <f>IF(B637="", "", "missing: not provided")</f>
        <v>0</v>
      </c>
      <c r="D637" s="1">
        <f>IF(B637="", "", "weeks")</f>
        <v>0</v>
      </c>
      <c r="E637" s="1">
        <f>IF(B637="", "", "urban biome")</f>
        <v>0</v>
      </c>
      <c r="F637" s="1">
        <f>IF(B637="", "", "animal-associated habitat")</f>
        <v>0</v>
      </c>
      <c r="G637" s="1">
        <f>IF(B637="", "", "mouse")</f>
        <v>0</v>
      </c>
      <c r="H637" s="1">
        <f>IF(B637="", "", "Mus musculus")</f>
        <v>0</v>
      </c>
      <c r="I637" s="1">
        <f>IF(B637="", "", "10090")</f>
        <v>0</v>
      </c>
      <c r="J637" s="2">
        <f>IF(B637="", "", "missing: not provided")</f>
        <v>0</v>
      </c>
      <c r="K637" s="1">
        <f>IF(B637="", "", "g")</f>
        <v>0</v>
      </c>
    </row>
    <row r="638" spans="1:11">
      <c r="A638">
        <f>IF(COUNTBLANK(B638:K638)&lt;&gt;COLUMNS(B638:K638),637,"")</f>
        <v>0</v>
      </c>
      <c r="C638" s="2">
        <f>IF(B638="", "", "missing: not provided")</f>
        <v>0</v>
      </c>
      <c r="D638" s="1">
        <f>IF(B638="", "", "weeks")</f>
        <v>0</v>
      </c>
      <c r="E638" s="1">
        <f>IF(B638="", "", "urban biome")</f>
        <v>0</v>
      </c>
      <c r="F638" s="1">
        <f>IF(B638="", "", "animal-associated habitat")</f>
        <v>0</v>
      </c>
      <c r="G638" s="1">
        <f>IF(B638="", "", "mouse")</f>
        <v>0</v>
      </c>
      <c r="H638" s="1">
        <f>IF(B638="", "", "Mus musculus")</f>
        <v>0</v>
      </c>
      <c r="I638" s="1">
        <f>IF(B638="", "", "10090")</f>
        <v>0</v>
      </c>
      <c r="J638" s="2">
        <f>IF(B638="", "", "missing: not provided")</f>
        <v>0</v>
      </c>
      <c r="K638" s="1">
        <f>IF(B638="", "", "g")</f>
        <v>0</v>
      </c>
    </row>
    <row r="639" spans="1:11">
      <c r="A639">
        <f>IF(COUNTBLANK(B639:K639)&lt;&gt;COLUMNS(B639:K639),638,"")</f>
        <v>0</v>
      </c>
      <c r="C639" s="2">
        <f>IF(B639="", "", "missing: not provided")</f>
        <v>0</v>
      </c>
      <c r="D639" s="1">
        <f>IF(B639="", "", "weeks")</f>
        <v>0</v>
      </c>
      <c r="E639" s="1">
        <f>IF(B639="", "", "urban biome")</f>
        <v>0</v>
      </c>
      <c r="F639" s="1">
        <f>IF(B639="", "", "animal-associated habitat")</f>
        <v>0</v>
      </c>
      <c r="G639" s="1">
        <f>IF(B639="", "", "mouse")</f>
        <v>0</v>
      </c>
      <c r="H639" s="1">
        <f>IF(B639="", "", "Mus musculus")</f>
        <v>0</v>
      </c>
      <c r="I639" s="1">
        <f>IF(B639="", "", "10090")</f>
        <v>0</v>
      </c>
      <c r="J639" s="2">
        <f>IF(B639="", "", "missing: not provided")</f>
        <v>0</v>
      </c>
      <c r="K639" s="1">
        <f>IF(B639="", "", "g")</f>
        <v>0</v>
      </c>
    </row>
    <row r="640" spans="1:11">
      <c r="A640">
        <f>IF(COUNTBLANK(B640:K640)&lt;&gt;COLUMNS(B640:K640),639,"")</f>
        <v>0</v>
      </c>
      <c r="C640" s="2">
        <f>IF(B640="", "", "missing: not provided")</f>
        <v>0</v>
      </c>
      <c r="D640" s="1">
        <f>IF(B640="", "", "weeks")</f>
        <v>0</v>
      </c>
      <c r="E640" s="1">
        <f>IF(B640="", "", "urban biome")</f>
        <v>0</v>
      </c>
      <c r="F640" s="1">
        <f>IF(B640="", "", "animal-associated habitat")</f>
        <v>0</v>
      </c>
      <c r="G640" s="1">
        <f>IF(B640="", "", "mouse")</f>
        <v>0</v>
      </c>
      <c r="H640" s="1">
        <f>IF(B640="", "", "Mus musculus")</f>
        <v>0</v>
      </c>
      <c r="I640" s="1">
        <f>IF(B640="", "", "10090")</f>
        <v>0</v>
      </c>
      <c r="J640" s="2">
        <f>IF(B640="", "", "missing: not provided")</f>
        <v>0</v>
      </c>
      <c r="K640" s="1">
        <f>IF(B640="", "", "g")</f>
        <v>0</v>
      </c>
    </row>
    <row r="641" spans="1:11">
      <c r="A641">
        <f>IF(COUNTBLANK(B641:K641)&lt;&gt;COLUMNS(B641:K641),640,"")</f>
        <v>0</v>
      </c>
      <c r="C641" s="2">
        <f>IF(B641="", "", "missing: not provided")</f>
        <v>0</v>
      </c>
      <c r="D641" s="1">
        <f>IF(B641="", "", "weeks")</f>
        <v>0</v>
      </c>
      <c r="E641" s="1">
        <f>IF(B641="", "", "urban biome")</f>
        <v>0</v>
      </c>
      <c r="F641" s="1">
        <f>IF(B641="", "", "animal-associated habitat")</f>
        <v>0</v>
      </c>
      <c r="G641" s="1">
        <f>IF(B641="", "", "mouse")</f>
        <v>0</v>
      </c>
      <c r="H641" s="1">
        <f>IF(B641="", "", "Mus musculus")</f>
        <v>0</v>
      </c>
      <c r="I641" s="1">
        <f>IF(B641="", "", "10090")</f>
        <v>0</v>
      </c>
      <c r="J641" s="2">
        <f>IF(B641="", "", "missing: not provided")</f>
        <v>0</v>
      </c>
      <c r="K641" s="1">
        <f>IF(B641="", "", "g")</f>
        <v>0</v>
      </c>
    </row>
    <row r="642" spans="1:11">
      <c r="A642">
        <f>IF(COUNTBLANK(B642:K642)&lt;&gt;COLUMNS(B642:K642),641,"")</f>
        <v>0</v>
      </c>
      <c r="C642" s="2">
        <f>IF(B642="", "", "missing: not provided")</f>
        <v>0</v>
      </c>
      <c r="D642" s="1">
        <f>IF(B642="", "", "weeks")</f>
        <v>0</v>
      </c>
      <c r="E642" s="1">
        <f>IF(B642="", "", "urban biome")</f>
        <v>0</v>
      </c>
      <c r="F642" s="1">
        <f>IF(B642="", "", "animal-associated habitat")</f>
        <v>0</v>
      </c>
      <c r="G642" s="1">
        <f>IF(B642="", "", "mouse")</f>
        <v>0</v>
      </c>
      <c r="H642" s="1">
        <f>IF(B642="", "", "Mus musculus")</f>
        <v>0</v>
      </c>
      <c r="I642" s="1">
        <f>IF(B642="", "", "10090")</f>
        <v>0</v>
      </c>
      <c r="J642" s="2">
        <f>IF(B642="", "", "missing: not provided")</f>
        <v>0</v>
      </c>
      <c r="K642" s="1">
        <f>IF(B642="", "", "g")</f>
        <v>0</v>
      </c>
    </row>
    <row r="643" spans="1:11">
      <c r="A643">
        <f>IF(COUNTBLANK(B643:K643)&lt;&gt;COLUMNS(B643:K643),642,"")</f>
        <v>0</v>
      </c>
      <c r="C643" s="2">
        <f>IF(B643="", "", "missing: not provided")</f>
        <v>0</v>
      </c>
      <c r="D643" s="1">
        <f>IF(B643="", "", "weeks")</f>
        <v>0</v>
      </c>
      <c r="E643" s="1">
        <f>IF(B643="", "", "urban biome")</f>
        <v>0</v>
      </c>
      <c r="F643" s="1">
        <f>IF(B643="", "", "animal-associated habitat")</f>
        <v>0</v>
      </c>
      <c r="G643" s="1">
        <f>IF(B643="", "", "mouse")</f>
        <v>0</v>
      </c>
      <c r="H643" s="1">
        <f>IF(B643="", "", "Mus musculus")</f>
        <v>0</v>
      </c>
      <c r="I643" s="1">
        <f>IF(B643="", "", "10090")</f>
        <v>0</v>
      </c>
      <c r="J643" s="2">
        <f>IF(B643="", "", "missing: not provided")</f>
        <v>0</v>
      </c>
      <c r="K643" s="1">
        <f>IF(B643="", "", "g")</f>
        <v>0</v>
      </c>
    </row>
    <row r="644" spans="1:11">
      <c r="A644">
        <f>IF(COUNTBLANK(B644:K644)&lt;&gt;COLUMNS(B644:K644),643,"")</f>
        <v>0</v>
      </c>
      <c r="C644" s="2">
        <f>IF(B644="", "", "missing: not provided")</f>
        <v>0</v>
      </c>
      <c r="D644" s="1">
        <f>IF(B644="", "", "weeks")</f>
        <v>0</v>
      </c>
      <c r="E644" s="1">
        <f>IF(B644="", "", "urban biome")</f>
        <v>0</v>
      </c>
      <c r="F644" s="1">
        <f>IF(B644="", "", "animal-associated habitat")</f>
        <v>0</v>
      </c>
      <c r="G644" s="1">
        <f>IF(B644="", "", "mouse")</f>
        <v>0</v>
      </c>
      <c r="H644" s="1">
        <f>IF(B644="", "", "Mus musculus")</f>
        <v>0</v>
      </c>
      <c r="I644" s="1">
        <f>IF(B644="", "", "10090")</f>
        <v>0</v>
      </c>
      <c r="J644" s="2">
        <f>IF(B644="", "", "missing: not provided")</f>
        <v>0</v>
      </c>
      <c r="K644" s="1">
        <f>IF(B644="", "", "g")</f>
        <v>0</v>
      </c>
    </row>
    <row r="645" spans="1:11">
      <c r="A645">
        <f>IF(COUNTBLANK(B645:K645)&lt;&gt;COLUMNS(B645:K645),644,"")</f>
        <v>0</v>
      </c>
      <c r="C645" s="2">
        <f>IF(B645="", "", "missing: not provided")</f>
        <v>0</v>
      </c>
      <c r="D645" s="1">
        <f>IF(B645="", "", "weeks")</f>
        <v>0</v>
      </c>
      <c r="E645" s="1">
        <f>IF(B645="", "", "urban biome")</f>
        <v>0</v>
      </c>
      <c r="F645" s="1">
        <f>IF(B645="", "", "animal-associated habitat")</f>
        <v>0</v>
      </c>
      <c r="G645" s="1">
        <f>IF(B645="", "", "mouse")</f>
        <v>0</v>
      </c>
      <c r="H645" s="1">
        <f>IF(B645="", "", "Mus musculus")</f>
        <v>0</v>
      </c>
      <c r="I645" s="1">
        <f>IF(B645="", "", "10090")</f>
        <v>0</v>
      </c>
      <c r="J645" s="2">
        <f>IF(B645="", "", "missing: not provided")</f>
        <v>0</v>
      </c>
      <c r="K645" s="1">
        <f>IF(B645="", "", "g")</f>
        <v>0</v>
      </c>
    </row>
    <row r="646" spans="1:11">
      <c r="A646">
        <f>IF(COUNTBLANK(B646:K646)&lt;&gt;COLUMNS(B646:K646),645,"")</f>
        <v>0</v>
      </c>
      <c r="C646" s="2">
        <f>IF(B646="", "", "missing: not provided")</f>
        <v>0</v>
      </c>
      <c r="D646" s="1">
        <f>IF(B646="", "", "weeks")</f>
        <v>0</v>
      </c>
      <c r="E646" s="1">
        <f>IF(B646="", "", "urban biome")</f>
        <v>0</v>
      </c>
      <c r="F646" s="1">
        <f>IF(B646="", "", "animal-associated habitat")</f>
        <v>0</v>
      </c>
      <c r="G646" s="1">
        <f>IF(B646="", "", "mouse")</f>
        <v>0</v>
      </c>
      <c r="H646" s="1">
        <f>IF(B646="", "", "Mus musculus")</f>
        <v>0</v>
      </c>
      <c r="I646" s="1">
        <f>IF(B646="", "", "10090")</f>
        <v>0</v>
      </c>
      <c r="J646" s="2">
        <f>IF(B646="", "", "missing: not provided")</f>
        <v>0</v>
      </c>
      <c r="K646" s="1">
        <f>IF(B646="", "", "g")</f>
        <v>0</v>
      </c>
    </row>
    <row r="647" spans="1:11">
      <c r="A647">
        <f>IF(COUNTBLANK(B647:K647)&lt;&gt;COLUMNS(B647:K647),646,"")</f>
        <v>0</v>
      </c>
      <c r="C647" s="2">
        <f>IF(B647="", "", "missing: not provided")</f>
        <v>0</v>
      </c>
      <c r="D647" s="1">
        <f>IF(B647="", "", "weeks")</f>
        <v>0</v>
      </c>
      <c r="E647" s="1">
        <f>IF(B647="", "", "urban biome")</f>
        <v>0</v>
      </c>
      <c r="F647" s="1">
        <f>IF(B647="", "", "animal-associated habitat")</f>
        <v>0</v>
      </c>
      <c r="G647" s="1">
        <f>IF(B647="", "", "mouse")</f>
        <v>0</v>
      </c>
      <c r="H647" s="1">
        <f>IF(B647="", "", "Mus musculus")</f>
        <v>0</v>
      </c>
      <c r="I647" s="1">
        <f>IF(B647="", "", "10090")</f>
        <v>0</v>
      </c>
      <c r="J647" s="2">
        <f>IF(B647="", "", "missing: not provided")</f>
        <v>0</v>
      </c>
      <c r="K647" s="1">
        <f>IF(B647="", "", "g")</f>
        <v>0</v>
      </c>
    </row>
    <row r="648" spans="1:11">
      <c r="A648">
        <f>IF(COUNTBLANK(B648:K648)&lt;&gt;COLUMNS(B648:K648),647,"")</f>
        <v>0</v>
      </c>
      <c r="C648" s="2">
        <f>IF(B648="", "", "missing: not provided")</f>
        <v>0</v>
      </c>
      <c r="D648" s="1">
        <f>IF(B648="", "", "weeks")</f>
        <v>0</v>
      </c>
      <c r="E648" s="1">
        <f>IF(B648="", "", "urban biome")</f>
        <v>0</v>
      </c>
      <c r="F648" s="1">
        <f>IF(B648="", "", "animal-associated habitat")</f>
        <v>0</v>
      </c>
      <c r="G648" s="1">
        <f>IF(B648="", "", "mouse")</f>
        <v>0</v>
      </c>
      <c r="H648" s="1">
        <f>IF(B648="", "", "Mus musculus")</f>
        <v>0</v>
      </c>
      <c r="I648" s="1">
        <f>IF(B648="", "", "10090")</f>
        <v>0</v>
      </c>
      <c r="J648" s="2">
        <f>IF(B648="", "", "missing: not provided")</f>
        <v>0</v>
      </c>
      <c r="K648" s="1">
        <f>IF(B648="", "", "g")</f>
        <v>0</v>
      </c>
    </row>
    <row r="649" spans="1:11">
      <c r="A649">
        <f>IF(COUNTBLANK(B649:K649)&lt;&gt;COLUMNS(B649:K649),648,"")</f>
        <v>0</v>
      </c>
      <c r="C649" s="2">
        <f>IF(B649="", "", "missing: not provided")</f>
        <v>0</v>
      </c>
      <c r="D649" s="1">
        <f>IF(B649="", "", "weeks")</f>
        <v>0</v>
      </c>
      <c r="E649" s="1">
        <f>IF(B649="", "", "urban biome")</f>
        <v>0</v>
      </c>
      <c r="F649" s="1">
        <f>IF(B649="", "", "animal-associated habitat")</f>
        <v>0</v>
      </c>
      <c r="G649" s="1">
        <f>IF(B649="", "", "mouse")</f>
        <v>0</v>
      </c>
      <c r="H649" s="1">
        <f>IF(B649="", "", "Mus musculus")</f>
        <v>0</v>
      </c>
      <c r="I649" s="1">
        <f>IF(B649="", "", "10090")</f>
        <v>0</v>
      </c>
      <c r="J649" s="2">
        <f>IF(B649="", "", "missing: not provided")</f>
        <v>0</v>
      </c>
      <c r="K649" s="1">
        <f>IF(B649="", "", "g")</f>
        <v>0</v>
      </c>
    </row>
    <row r="650" spans="1:11">
      <c r="A650">
        <f>IF(COUNTBLANK(B650:K650)&lt;&gt;COLUMNS(B650:K650),649,"")</f>
        <v>0</v>
      </c>
      <c r="C650" s="2">
        <f>IF(B650="", "", "missing: not provided")</f>
        <v>0</v>
      </c>
      <c r="D650" s="1">
        <f>IF(B650="", "", "weeks")</f>
        <v>0</v>
      </c>
      <c r="E650" s="1">
        <f>IF(B650="", "", "urban biome")</f>
        <v>0</v>
      </c>
      <c r="F650" s="1">
        <f>IF(B650="", "", "animal-associated habitat")</f>
        <v>0</v>
      </c>
      <c r="G650" s="1">
        <f>IF(B650="", "", "mouse")</f>
        <v>0</v>
      </c>
      <c r="H650" s="1">
        <f>IF(B650="", "", "Mus musculus")</f>
        <v>0</v>
      </c>
      <c r="I650" s="1">
        <f>IF(B650="", "", "10090")</f>
        <v>0</v>
      </c>
      <c r="J650" s="2">
        <f>IF(B650="", "", "missing: not provided")</f>
        <v>0</v>
      </c>
      <c r="K650" s="1">
        <f>IF(B650="", "", "g")</f>
        <v>0</v>
      </c>
    </row>
    <row r="651" spans="1:11">
      <c r="A651">
        <f>IF(COUNTBLANK(B651:K651)&lt;&gt;COLUMNS(B651:K651),650,"")</f>
        <v>0</v>
      </c>
      <c r="C651" s="2">
        <f>IF(B651="", "", "missing: not provided")</f>
        <v>0</v>
      </c>
      <c r="D651" s="1">
        <f>IF(B651="", "", "weeks")</f>
        <v>0</v>
      </c>
      <c r="E651" s="1">
        <f>IF(B651="", "", "urban biome")</f>
        <v>0</v>
      </c>
      <c r="F651" s="1">
        <f>IF(B651="", "", "animal-associated habitat")</f>
        <v>0</v>
      </c>
      <c r="G651" s="1">
        <f>IF(B651="", "", "mouse")</f>
        <v>0</v>
      </c>
      <c r="H651" s="1">
        <f>IF(B651="", "", "Mus musculus")</f>
        <v>0</v>
      </c>
      <c r="I651" s="1">
        <f>IF(B651="", "", "10090")</f>
        <v>0</v>
      </c>
      <c r="J651" s="2">
        <f>IF(B651="", "", "missing: not provided")</f>
        <v>0</v>
      </c>
      <c r="K651" s="1">
        <f>IF(B651="", "", "g")</f>
        <v>0</v>
      </c>
    </row>
    <row r="652" spans="1:11">
      <c r="A652">
        <f>IF(COUNTBLANK(B652:K652)&lt;&gt;COLUMNS(B652:K652),651,"")</f>
        <v>0</v>
      </c>
      <c r="C652" s="2">
        <f>IF(B652="", "", "missing: not provided")</f>
        <v>0</v>
      </c>
      <c r="D652" s="1">
        <f>IF(B652="", "", "weeks")</f>
        <v>0</v>
      </c>
      <c r="E652" s="1">
        <f>IF(B652="", "", "urban biome")</f>
        <v>0</v>
      </c>
      <c r="F652" s="1">
        <f>IF(B652="", "", "animal-associated habitat")</f>
        <v>0</v>
      </c>
      <c r="G652" s="1">
        <f>IF(B652="", "", "mouse")</f>
        <v>0</v>
      </c>
      <c r="H652" s="1">
        <f>IF(B652="", "", "Mus musculus")</f>
        <v>0</v>
      </c>
      <c r="I652" s="1">
        <f>IF(B652="", "", "10090")</f>
        <v>0</v>
      </c>
      <c r="J652" s="2">
        <f>IF(B652="", "", "missing: not provided")</f>
        <v>0</v>
      </c>
      <c r="K652" s="1">
        <f>IF(B652="", "", "g")</f>
        <v>0</v>
      </c>
    </row>
    <row r="653" spans="1:11">
      <c r="A653">
        <f>IF(COUNTBLANK(B653:K653)&lt;&gt;COLUMNS(B653:K653),652,"")</f>
        <v>0</v>
      </c>
      <c r="C653" s="2">
        <f>IF(B653="", "", "missing: not provided")</f>
        <v>0</v>
      </c>
      <c r="D653" s="1">
        <f>IF(B653="", "", "weeks")</f>
        <v>0</v>
      </c>
      <c r="E653" s="1">
        <f>IF(B653="", "", "urban biome")</f>
        <v>0</v>
      </c>
      <c r="F653" s="1">
        <f>IF(B653="", "", "animal-associated habitat")</f>
        <v>0</v>
      </c>
      <c r="G653" s="1">
        <f>IF(B653="", "", "mouse")</f>
        <v>0</v>
      </c>
      <c r="H653" s="1">
        <f>IF(B653="", "", "Mus musculus")</f>
        <v>0</v>
      </c>
      <c r="I653" s="1">
        <f>IF(B653="", "", "10090")</f>
        <v>0</v>
      </c>
      <c r="J653" s="2">
        <f>IF(B653="", "", "missing: not provided")</f>
        <v>0</v>
      </c>
      <c r="K653" s="1">
        <f>IF(B653="", "", "g")</f>
        <v>0</v>
      </c>
    </row>
    <row r="654" spans="1:11">
      <c r="A654">
        <f>IF(COUNTBLANK(B654:K654)&lt;&gt;COLUMNS(B654:K654),653,"")</f>
        <v>0</v>
      </c>
      <c r="C654" s="2">
        <f>IF(B654="", "", "missing: not provided")</f>
        <v>0</v>
      </c>
      <c r="D654" s="1">
        <f>IF(B654="", "", "weeks")</f>
        <v>0</v>
      </c>
      <c r="E654" s="1">
        <f>IF(B654="", "", "urban biome")</f>
        <v>0</v>
      </c>
      <c r="F654" s="1">
        <f>IF(B654="", "", "animal-associated habitat")</f>
        <v>0</v>
      </c>
      <c r="G654" s="1">
        <f>IF(B654="", "", "mouse")</f>
        <v>0</v>
      </c>
      <c r="H654" s="1">
        <f>IF(B654="", "", "Mus musculus")</f>
        <v>0</v>
      </c>
      <c r="I654" s="1">
        <f>IF(B654="", "", "10090")</f>
        <v>0</v>
      </c>
      <c r="J654" s="2">
        <f>IF(B654="", "", "missing: not provided")</f>
        <v>0</v>
      </c>
      <c r="K654" s="1">
        <f>IF(B654="", "", "g")</f>
        <v>0</v>
      </c>
    </row>
    <row r="655" spans="1:11">
      <c r="A655">
        <f>IF(COUNTBLANK(B655:K655)&lt;&gt;COLUMNS(B655:K655),654,"")</f>
        <v>0</v>
      </c>
      <c r="C655" s="2">
        <f>IF(B655="", "", "missing: not provided")</f>
        <v>0</v>
      </c>
      <c r="D655" s="1">
        <f>IF(B655="", "", "weeks")</f>
        <v>0</v>
      </c>
      <c r="E655" s="1">
        <f>IF(B655="", "", "urban biome")</f>
        <v>0</v>
      </c>
      <c r="F655" s="1">
        <f>IF(B655="", "", "animal-associated habitat")</f>
        <v>0</v>
      </c>
      <c r="G655" s="1">
        <f>IF(B655="", "", "mouse")</f>
        <v>0</v>
      </c>
      <c r="H655" s="1">
        <f>IF(B655="", "", "Mus musculus")</f>
        <v>0</v>
      </c>
      <c r="I655" s="1">
        <f>IF(B655="", "", "10090")</f>
        <v>0</v>
      </c>
      <c r="J655" s="2">
        <f>IF(B655="", "", "missing: not provided")</f>
        <v>0</v>
      </c>
      <c r="K655" s="1">
        <f>IF(B655="", "", "g")</f>
        <v>0</v>
      </c>
    </row>
    <row r="656" spans="1:11">
      <c r="A656">
        <f>IF(COUNTBLANK(B656:K656)&lt;&gt;COLUMNS(B656:K656),655,"")</f>
        <v>0</v>
      </c>
      <c r="C656" s="2">
        <f>IF(B656="", "", "missing: not provided")</f>
        <v>0</v>
      </c>
      <c r="D656" s="1">
        <f>IF(B656="", "", "weeks")</f>
        <v>0</v>
      </c>
      <c r="E656" s="1">
        <f>IF(B656="", "", "urban biome")</f>
        <v>0</v>
      </c>
      <c r="F656" s="1">
        <f>IF(B656="", "", "animal-associated habitat")</f>
        <v>0</v>
      </c>
      <c r="G656" s="1">
        <f>IF(B656="", "", "mouse")</f>
        <v>0</v>
      </c>
      <c r="H656" s="1">
        <f>IF(B656="", "", "Mus musculus")</f>
        <v>0</v>
      </c>
      <c r="I656" s="1">
        <f>IF(B656="", "", "10090")</f>
        <v>0</v>
      </c>
      <c r="J656" s="2">
        <f>IF(B656="", "", "missing: not provided")</f>
        <v>0</v>
      </c>
      <c r="K656" s="1">
        <f>IF(B656="", "", "g")</f>
        <v>0</v>
      </c>
    </row>
    <row r="657" spans="1:11">
      <c r="A657">
        <f>IF(COUNTBLANK(B657:K657)&lt;&gt;COLUMNS(B657:K657),656,"")</f>
        <v>0</v>
      </c>
      <c r="C657" s="2">
        <f>IF(B657="", "", "missing: not provided")</f>
        <v>0</v>
      </c>
      <c r="D657" s="1">
        <f>IF(B657="", "", "weeks")</f>
        <v>0</v>
      </c>
      <c r="E657" s="1">
        <f>IF(B657="", "", "urban biome")</f>
        <v>0</v>
      </c>
      <c r="F657" s="1">
        <f>IF(B657="", "", "animal-associated habitat")</f>
        <v>0</v>
      </c>
      <c r="G657" s="1">
        <f>IF(B657="", "", "mouse")</f>
        <v>0</v>
      </c>
      <c r="H657" s="1">
        <f>IF(B657="", "", "Mus musculus")</f>
        <v>0</v>
      </c>
      <c r="I657" s="1">
        <f>IF(B657="", "", "10090")</f>
        <v>0</v>
      </c>
      <c r="J657" s="2">
        <f>IF(B657="", "", "missing: not provided")</f>
        <v>0</v>
      </c>
      <c r="K657" s="1">
        <f>IF(B657="", "", "g")</f>
        <v>0</v>
      </c>
    </row>
    <row r="658" spans="1:11">
      <c r="A658">
        <f>IF(COUNTBLANK(B658:K658)&lt;&gt;COLUMNS(B658:K658),657,"")</f>
        <v>0</v>
      </c>
      <c r="C658" s="2">
        <f>IF(B658="", "", "missing: not provided")</f>
        <v>0</v>
      </c>
      <c r="D658" s="1">
        <f>IF(B658="", "", "weeks")</f>
        <v>0</v>
      </c>
      <c r="E658" s="1">
        <f>IF(B658="", "", "urban biome")</f>
        <v>0</v>
      </c>
      <c r="F658" s="1">
        <f>IF(B658="", "", "animal-associated habitat")</f>
        <v>0</v>
      </c>
      <c r="G658" s="1">
        <f>IF(B658="", "", "mouse")</f>
        <v>0</v>
      </c>
      <c r="H658" s="1">
        <f>IF(B658="", "", "Mus musculus")</f>
        <v>0</v>
      </c>
      <c r="I658" s="1">
        <f>IF(B658="", "", "10090")</f>
        <v>0</v>
      </c>
      <c r="J658" s="2">
        <f>IF(B658="", "", "missing: not provided")</f>
        <v>0</v>
      </c>
      <c r="K658" s="1">
        <f>IF(B658="", "", "g")</f>
        <v>0</v>
      </c>
    </row>
    <row r="659" spans="1:11">
      <c r="A659">
        <f>IF(COUNTBLANK(B659:K659)&lt;&gt;COLUMNS(B659:K659),658,"")</f>
        <v>0</v>
      </c>
      <c r="C659" s="2">
        <f>IF(B659="", "", "missing: not provided")</f>
        <v>0</v>
      </c>
      <c r="D659" s="1">
        <f>IF(B659="", "", "weeks")</f>
        <v>0</v>
      </c>
      <c r="E659" s="1">
        <f>IF(B659="", "", "urban biome")</f>
        <v>0</v>
      </c>
      <c r="F659" s="1">
        <f>IF(B659="", "", "animal-associated habitat")</f>
        <v>0</v>
      </c>
      <c r="G659" s="1">
        <f>IF(B659="", "", "mouse")</f>
        <v>0</v>
      </c>
      <c r="H659" s="1">
        <f>IF(B659="", "", "Mus musculus")</f>
        <v>0</v>
      </c>
      <c r="I659" s="1">
        <f>IF(B659="", "", "10090")</f>
        <v>0</v>
      </c>
      <c r="J659" s="2">
        <f>IF(B659="", "", "missing: not provided")</f>
        <v>0</v>
      </c>
      <c r="K659" s="1">
        <f>IF(B659="", "", "g")</f>
        <v>0</v>
      </c>
    </row>
    <row r="660" spans="1:11">
      <c r="A660">
        <f>IF(COUNTBLANK(B660:K660)&lt;&gt;COLUMNS(B660:K660),659,"")</f>
        <v>0</v>
      </c>
      <c r="C660" s="2">
        <f>IF(B660="", "", "missing: not provided")</f>
        <v>0</v>
      </c>
      <c r="D660" s="1">
        <f>IF(B660="", "", "weeks")</f>
        <v>0</v>
      </c>
      <c r="E660" s="1">
        <f>IF(B660="", "", "urban biome")</f>
        <v>0</v>
      </c>
      <c r="F660" s="1">
        <f>IF(B660="", "", "animal-associated habitat")</f>
        <v>0</v>
      </c>
      <c r="G660" s="1">
        <f>IF(B660="", "", "mouse")</f>
        <v>0</v>
      </c>
      <c r="H660" s="1">
        <f>IF(B660="", "", "Mus musculus")</f>
        <v>0</v>
      </c>
      <c r="I660" s="1">
        <f>IF(B660="", "", "10090")</f>
        <v>0</v>
      </c>
      <c r="J660" s="2">
        <f>IF(B660="", "", "missing: not provided")</f>
        <v>0</v>
      </c>
      <c r="K660" s="1">
        <f>IF(B660="", "", "g")</f>
        <v>0</v>
      </c>
    </row>
    <row r="661" spans="1:11">
      <c r="A661">
        <f>IF(COUNTBLANK(B661:K661)&lt;&gt;COLUMNS(B661:K661),660,"")</f>
        <v>0</v>
      </c>
      <c r="C661" s="2">
        <f>IF(B661="", "", "missing: not provided")</f>
        <v>0</v>
      </c>
      <c r="D661" s="1">
        <f>IF(B661="", "", "weeks")</f>
        <v>0</v>
      </c>
      <c r="E661" s="1">
        <f>IF(B661="", "", "urban biome")</f>
        <v>0</v>
      </c>
      <c r="F661" s="1">
        <f>IF(B661="", "", "animal-associated habitat")</f>
        <v>0</v>
      </c>
      <c r="G661" s="1">
        <f>IF(B661="", "", "mouse")</f>
        <v>0</v>
      </c>
      <c r="H661" s="1">
        <f>IF(B661="", "", "Mus musculus")</f>
        <v>0</v>
      </c>
      <c r="I661" s="1">
        <f>IF(B661="", "", "10090")</f>
        <v>0</v>
      </c>
      <c r="J661" s="2">
        <f>IF(B661="", "", "missing: not provided")</f>
        <v>0</v>
      </c>
      <c r="K661" s="1">
        <f>IF(B661="", "", "g")</f>
        <v>0</v>
      </c>
    </row>
    <row r="662" spans="1:11">
      <c r="A662">
        <f>IF(COUNTBLANK(B662:K662)&lt;&gt;COLUMNS(B662:K662),661,"")</f>
        <v>0</v>
      </c>
      <c r="C662" s="2">
        <f>IF(B662="", "", "missing: not provided")</f>
        <v>0</v>
      </c>
      <c r="D662" s="1">
        <f>IF(B662="", "", "weeks")</f>
        <v>0</v>
      </c>
      <c r="E662" s="1">
        <f>IF(B662="", "", "urban biome")</f>
        <v>0</v>
      </c>
      <c r="F662" s="1">
        <f>IF(B662="", "", "animal-associated habitat")</f>
        <v>0</v>
      </c>
      <c r="G662" s="1">
        <f>IF(B662="", "", "mouse")</f>
        <v>0</v>
      </c>
      <c r="H662" s="1">
        <f>IF(B662="", "", "Mus musculus")</f>
        <v>0</v>
      </c>
      <c r="I662" s="1">
        <f>IF(B662="", "", "10090")</f>
        <v>0</v>
      </c>
      <c r="J662" s="2">
        <f>IF(B662="", "", "missing: not provided")</f>
        <v>0</v>
      </c>
      <c r="K662" s="1">
        <f>IF(B662="", "", "g")</f>
        <v>0</v>
      </c>
    </row>
    <row r="663" spans="1:11">
      <c r="A663">
        <f>IF(COUNTBLANK(B663:K663)&lt;&gt;COLUMNS(B663:K663),662,"")</f>
        <v>0</v>
      </c>
      <c r="C663" s="2">
        <f>IF(B663="", "", "missing: not provided")</f>
        <v>0</v>
      </c>
      <c r="D663" s="1">
        <f>IF(B663="", "", "weeks")</f>
        <v>0</v>
      </c>
      <c r="E663" s="1">
        <f>IF(B663="", "", "urban biome")</f>
        <v>0</v>
      </c>
      <c r="F663" s="1">
        <f>IF(B663="", "", "animal-associated habitat")</f>
        <v>0</v>
      </c>
      <c r="G663" s="1">
        <f>IF(B663="", "", "mouse")</f>
        <v>0</v>
      </c>
      <c r="H663" s="1">
        <f>IF(B663="", "", "Mus musculus")</f>
        <v>0</v>
      </c>
      <c r="I663" s="1">
        <f>IF(B663="", "", "10090")</f>
        <v>0</v>
      </c>
      <c r="J663" s="2">
        <f>IF(B663="", "", "missing: not provided")</f>
        <v>0</v>
      </c>
      <c r="K663" s="1">
        <f>IF(B663="", "", "g")</f>
        <v>0</v>
      </c>
    </row>
    <row r="664" spans="1:11">
      <c r="A664">
        <f>IF(COUNTBLANK(B664:K664)&lt;&gt;COLUMNS(B664:K664),663,"")</f>
        <v>0</v>
      </c>
      <c r="C664" s="2">
        <f>IF(B664="", "", "missing: not provided")</f>
        <v>0</v>
      </c>
      <c r="D664" s="1">
        <f>IF(B664="", "", "weeks")</f>
        <v>0</v>
      </c>
      <c r="E664" s="1">
        <f>IF(B664="", "", "urban biome")</f>
        <v>0</v>
      </c>
      <c r="F664" s="1">
        <f>IF(B664="", "", "animal-associated habitat")</f>
        <v>0</v>
      </c>
      <c r="G664" s="1">
        <f>IF(B664="", "", "mouse")</f>
        <v>0</v>
      </c>
      <c r="H664" s="1">
        <f>IF(B664="", "", "Mus musculus")</f>
        <v>0</v>
      </c>
      <c r="I664" s="1">
        <f>IF(B664="", "", "10090")</f>
        <v>0</v>
      </c>
      <c r="J664" s="2">
        <f>IF(B664="", "", "missing: not provided")</f>
        <v>0</v>
      </c>
      <c r="K664" s="1">
        <f>IF(B664="", "", "g")</f>
        <v>0</v>
      </c>
    </row>
    <row r="665" spans="1:11">
      <c r="A665">
        <f>IF(COUNTBLANK(B665:K665)&lt;&gt;COLUMNS(B665:K665),664,"")</f>
        <v>0</v>
      </c>
      <c r="C665" s="2">
        <f>IF(B665="", "", "missing: not provided")</f>
        <v>0</v>
      </c>
      <c r="D665" s="1">
        <f>IF(B665="", "", "weeks")</f>
        <v>0</v>
      </c>
      <c r="E665" s="1">
        <f>IF(B665="", "", "urban biome")</f>
        <v>0</v>
      </c>
      <c r="F665" s="1">
        <f>IF(B665="", "", "animal-associated habitat")</f>
        <v>0</v>
      </c>
      <c r="G665" s="1">
        <f>IF(B665="", "", "mouse")</f>
        <v>0</v>
      </c>
      <c r="H665" s="1">
        <f>IF(B665="", "", "Mus musculus")</f>
        <v>0</v>
      </c>
      <c r="I665" s="1">
        <f>IF(B665="", "", "10090")</f>
        <v>0</v>
      </c>
      <c r="J665" s="2">
        <f>IF(B665="", "", "missing: not provided")</f>
        <v>0</v>
      </c>
      <c r="K665" s="1">
        <f>IF(B665="", "", "g")</f>
        <v>0</v>
      </c>
    </row>
    <row r="666" spans="1:11">
      <c r="A666">
        <f>IF(COUNTBLANK(B666:K666)&lt;&gt;COLUMNS(B666:K666),665,"")</f>
        <v>0</v>
      </c>
      <c r="C666" s="2">
        <f>IF(B666="", "", "missing: not provided")</f>
        <v>0</v>
      </c>
      <c r="D666" s="1">
        <f>IF(B666="", "", "weeks")</f>
        <v>0</v>
      </c>
      <c r="E666" s="1">
        <f>IF(B666="", "", "urban biome")</f>
        <v>0</v>
      </c>
      <c r="F666" s="1">
        <f>IF(B666="", "", "animal-associated habitat")</f>
        <v>0</v>
      </c>
      <c r="G666" s="1">
        <f>IF(B666="", "", "mouse")</f>
        <v>0</v>
      </c>
      <c r="H666" s="1">
        <f>IF(B666="", "", "Mus musculus")</f>
        <v>0</v>
      </c>
      <c r="I666" s="1">
        <f>IF(B666="", "", "10090")</f>
        <v>0</v>
      </c>
      <c r="J666" s="2">
        <f>IF(B666="", "", "missing: not provided")</f>
        <v>0</v>
      </c>
      <c r="K666" s="1">
        <f>IF(B666="", "", "g")</f>
        <v>0</v>
      </c>
    </row>
    <row r="667" spans="1:11">
      <c r="A667">
        <f>IF(COUNTBLANK(B667:K667)&lt;&gt;COLUMNS(B667:K667),666,"")</f>
        <v>0</v>
      </c>
      <c r="C667" s="2">
        <f>IF(B667="", "", "missing: not provided")</f>
        <v>0</v>
      </c>
      <c r="D667" s="1">
        <f>IF(B667="", "", "weeks")</f>
        <v>0</v>
      </c>
      <c r="E667" s="1">
        <f>IF(B667="", "", "urban biome")</f>
        <v>0</v>
      </c>
      <c r="F667" s="1">
        <f>IF(B667="", "", "animal-associated habitat")</f>
        <v>0</v>
      </c>
      <c r="G667" s="1">
        <f>IF(B667="", "", "mouse")</f>
        <v>0</v>
      </c>
      <c r="H667" s="1">
        <f>IF(B667="", "", "Mus musculus")</f>
        <v>0</v>
      </c>
      <c r="I667" s="1">
        <f>IF(B667="", "", "10090")</f>
        <v>0</v>
      </c>
      <c r="J667" s="2">
        <f>IF(B667="", "", "missing: not provided")</f>
        <v>0</v>
      </c>
      <c r="K667" s="1">
        <f>IF(B667="", "", "g")</f>
        <v>0</v>
      </c>
    </row>
    <row r="668" spans="1:11">
      <c r="A668">
        <f>IF(COUNTBLANK(B668:K668)&lt;&gt;COLUMNS(B668:K668),667,"")</f>
        <v>0</v>
      </c>
      <c r="C668" s="2">
        <f>IF(B668="", "", "missing: not provided")</f>
        <v>0</v>
      </c>
      <c r="D668" s="1">
        <f>IF(B668="", "", "weeks")</f>
        <v>0</v>
      </c>
      <c r="E668" s="1">
        <f>IF(B668="", "", "urban biome")</f>
        <v>0</v>
      </c>
      <c r="F668" s="1">
        <f>IF(B668="", "", "animal-associated habitat")</f>
        <v>0</v>
      </c>
      <c r="G668" s="1">
        <f>IF(B668="", "", "mouse")</f>
        <v>0</v>
      </c>
      <c r="H668" s="1">
        <f>IF(B668="", "", "Mus musculus")</f>
        <v>0</v>
      </c>
      <c r="I668" s="1">
        <f>IF(B668="", "", "10090")</f>
        <v>0</v>
      </c>
      <c r="J668" s="2">
        <f>IF(B668="", "", "missing: not provided")</f>
        <v>0</v>
      </c>
      <c r="K668" s="1">
        <f>IF(B668="", "", "g")</f>
        <v>0</v>
      </c>
    </row>
    <row r="669" spans="1:11">
      <c r="A669">
        <f>IF(COUNTBLANK(B669:K669)&lt;&gt;COLUMNS(B669:K669),668,"")</f>
        <v>0</v>
      </c>
      <c r="C669" s="2">
        <f>IF(B669="", "", "missing: not provided")</f>
        <v>0</v>
      </c>
      <c r="D669" s="1">
        <f>IF(B669="", "", "weeks")</f>
        <v>0</v>
      </c>
      <c r="E669" s="1">
        <f>IF(B669="", "", "urban biome")</f>
        <v>0</v>
      </c>
      <c r="F669" s="1">
        <f>IF(B669="", "", "animal-associated habitat")</f>
        <v>0</v>
      </c>
      <c r="G669" s="1">
        <f>IF(B669="", "", "mouse")</f>
        <v>0</v>
      </c>
      <c r="H669" s="1">
        <f>IF(B669="", "", "Mus musculus")</f>
        <v>0</v>
      </c>
      <c r="I669" s="1">
        <f>IF(B669="", "", "10090")</f>
        <v>0</v>
      </c>
      <c r="J669" s="2">
        <f>IF(B669="", "", "missing: not provided")</f>
        <v>0</v>
      </c>
      <c r="K669" s="1">
        <f>IF(B669="", "", "g")</f>
        <v>0</v>
      </c>
    </row>
    <row r="670" spans="1:11">
      <c r="A670">
        <f>IF(COUNTBLANK(B670:K670)&lt;&gt;COLUMNS(B670:K670),669,"")</f>
        <v>0</v>
      </c>
      <c r="C670" s="2">
        <f>IF(B670="", "", "missing: not provided")</f>
        <v>0</v>
      </c>
      <c r="D670" s="1">
        <f>IF(B670="", "", "weeks")</f>
        <v>0</v>
      </c>
      <c r="E670" s="1">
        <f>IF(B670="", "", "urban biome")</f>
        <v>0</v>
      </c>
      <c r="F670" s="1">
        <f>IF(B670="", "", "animal-associated habitat")</f>
        <v>0</v>
      </c>
      <c r="G670" s="1">
        <f>IF(B670="", "", "mouse")</f>
        <v>0</v>
      </c>
      <c r="H670" s="1">
        <f>IF(B670="", "", "Mus musculus")</f>
        <v>0</v>
      </c>
      <c r="I670" s="1">
        <f>IF(B670="", "", "10090")</f>
        <v>0</v>
      </c>
      <c r="J670" s="2">
        <f>IF(B670="", "", "missing: not provided")</f>
        <v>0</v>
      </c>
      <c r="K670" s="1">
        <f>IF(B670="", "", "g")</f>
        <v>0</v>
      </c>
    </row>
    <row r="671" spans="1:11">
      <c r="A671">
        <f>IF(COUNTBLANK(B671:K671)&lt;&gt;COLUMNS(B671:K671),670,"")</f>
        <v>0</v>
      </c>
      <c r="C671" s="2">
        <f>IF(B671="", "", "missing: not provided")</f>
        <v>0</v>
      </c>
      <c r="D671" s="1">
        <f>IF(B671="", "", "weeks")</f>
        <v>0</v>
      </c>
      <c r="E671" s="1">
        <f>IF(B671="", "", "urban biome")</f>
        <v>0</v>
      </c>
      <c r="F671" s="1">
        <f>IF(B671="", "", "animal-associated habitat")</f>
        <v>0</v>
      </c>
      <c r="G671" s="1">
        <f>IF(B671="", "", "mouse")</f>
        <v>0</v>
      </c>
      <c r="H671" s="1">
        <f>IF(B671="", "", "Mus musculus")</f>
        <v>0</v>
      </c>
      <c r="I671" s="1">
        <f>IF(B671="", "", "10090")</f>
        <v>0</v>
      </c>
      <c r="J671" s="2">
        <f>IF(B671="", "", "missing: not provided")</f>
        <v>0</v>
      </c>
      <c r="K671" s="1">
        <f>IF(B671="", "", "g")</f>
        <v>0</v>
      </c>
    </row>
    <row r="672" spans="1:11">
      <c r="A672">
        <f>IF(COUNTBLANK(B672:K672)&lt;&gt;COLUMNS(B672:K672),671,"")</f>
        <v>0</v>
      </c>
      <c r="C672" s="2">
        <f>IF(B672="", "", "missing: not provided")</f>
        <v>0</v>
      </c>
      <c r="D672" s="1">
        <f>IF(B672="", "", "weeks")</f>
        <v>0</v>
      </c>
      <c r="E672" s="1">
        <f>IF(B672="", "", "urban biome")</f>
        <v>0</v>
      </c>
      <c r="F672" s="1">
        <f>IF(B672="", "", "animal-associated habitat")</f>
        <v>0</v>
      </c>
      <c r="G672" s="1">
        <f>IF(B672="", "", "mouse")</f>
        <v>0</v>
      </c>
      <c r="H672" s="1">
        <f>IF(B672="", "", "Mus musculus")</f>
        <v>0</v>
      </c>
      <c r="I672" s="1">
        <f>IF(B672="", "", "10090")</f>
        <v>0</v>
      </c>
      <c r="J672" s="2">
        <f>IF(B672="", "", "missing: not provided")</f>
        <v>0</v>
      </c>
      <c r="K672" s="1">
        <f>IF(B672="", "", "g")</f>
        <v>0</v>
      </c>
    </row>
    <row r="673" spans="1:11">
      <c r="A673">
        <f>IF(COUNTBLANK(B673:K673)&lt;&gt;COLUMNS(B673:K673),672,"")</f>
        <v>0</v>
      </c>
      <c r="C673" s="2">
        <f>IF(B673="", "", "missing: not provided")</f>
        <v>0</v>
      </c>
      <c r="D673" s="1">
        <f>IF(B673="", "", "weeks")</f>
        <v>0</v>
      </c>
      <c r="E673" s="1">
        <f>IF(B673="", "", "urban biome")</f>
        <v>0</v>
      </c>
      <c r="F673" s="1">
        <f>IF(B673="", "", "animal-associated habitat")</f>
        <v>0</v>
      </c>
      <c r="G673" s="1">
        <f>IF(B673="", "", "mouse")</f>
        <v>0</v>
      </c>
      <c r="H673" s="1">
        <f>IF(B673="", "", "Mus musculus")</f>
        <v>0</v>
      </c>
      <c r="I673" s="1">
        <f>IF(B673="", "", "10090")</f>
        <v>0</v>
      </c>
      <c r="J673" s="2">
        <f>IF(B673="", "", "missing: not provided")</f>
        <v>0</v>
      </c>
      <c r="K673" s="1">
        <f>IF(B673="", "", "g")</f>
        <v>0</v>
      </c>
    </row>
    <row r="674" spans="1:11">
      <c r="A674">
        <f>IF(COUNTBLANK(B674:K674)&lt;&gt;COLUMNS(B674:K674),673,"")</f>
        <v>0</v>
      </c>
      <c r="C674" s="2">
        <f>IF(B674="", "", "missing: not provided")</f>
        <v>0</v>
      </c>
      <c r="D674" s="1">
        <f>IF(B674="", "", "weeks")</f>
        <v>0</v>
      </c>
      <c r="E674" s="1">
        <f>IF(B674="", "", "urban biome")</f>
        <v>0</v>
      </c>
      <c r="F674" s="1">
        <f>IF(B674="", "", "animal-associated habitat")</f>
        <v>0</v>
      </c>
      <c r="G674" s="1">
        <f>IF(B674="", "", "mouse")</f>
        <v>0</v>
      </c>
      <c r="H674" s="1">
        <f>IF(B674="", "", "Mus musculus")</f>
        <v>0</v>
      </c>
      <c r="I674" s="1">
        <f>IF(B674="", "", "10090")</f>
        <v>0</v>
      </c>
      <c r="J674" s="2">
        <f>IF(B674="", "", "missing: not provided")</f>
        <v>0</v>
      </c>
      <c r="K674" s="1">
        <f>IF(B674="", "", "g")</f>
        <v>0</v>
      </c>
    </row>
    <row r="675" spans="1:11">
      <c r="A675">
        <f>IF(COUNTBLANK(B675:K675)&lt;&gt;COLUMNS(B675:K675),674,"")</f>
        <v>0</v>
      </c>
      <c r="C675" s="2">
        <f>IF(B675="", "", "missing: not provided")</f>
        <v>0</v>
      </c>
      <c r="D675" s="1">
        <f>IF(B675="", "", "weeks")</f>
        <v>0</v>
      </c>
      <c r="E675" s="1">
        <f>IF(B675="", "", "urban biome")</f>
        <v>0</v>
      </c>
      <c r="F675" s="1">
        <f>IF(B675="", "", "animal-associated habitat")</f>
        <v>0</v>
      </c>
      <c r="G675" s="1">
        <f>IF(B675="", "", "mouse")</f>
        <v>0</v>
      </c>
      <c r="H675" s="1">
        <f>IF(B675="", "", "Mus musculus")</f>
        <v>0</v>
      </c>
      <c r="I675" s="1">
        <f>IF(B675="", "", "10090")</f>
        <v>0</v>
      </c>
      <c r="J675" s="2">
        <f>IF(B675="", "", "missing: not provided")</f>
        <v>0</v>
      </c>
      <c r="K675" s="1">
        <f>IF(B675="", "", "g")</f>
        <v>0</v>
      </c>
    </row>
    <row r="676" spans="1:11">
      <c r="A676">
        <f>IF(COUNTBLANK(B676:K676)&lt;&gt;COLUMNS(B676:K676),675,"")</f>
        <v>0</v>
      </c>
      <c r="C676" s="2">
        <f>IF(B676="", "", "missing: not provided")</f>
        <v>0</v>
      </c>
      <c r="D676" s="1">
        <f>IF(B676="", "", "weeks")</f>
        <v>0</v>
      </c>
      <c r="E676" s="1">
        <f>IF(B676="", "", "urban biome")</f>
        <v>0</v>
      </c>
      <c r="F676" s="1">
        <f>IF(B676="", "", "animal-associated habitat")</f>
        <v>0</v>
      </c>
      <c r="G676" s="1">
        <f>IF(B676="", "", "mouse")</f>
        <v>0</v>
      </c>
      <c r="H676" s="1">
        <f>IF(B676="", "", "Mus musculus")</f>
        <v>0</v>
      </c>
      <c r="I676" s="1">
        <f>IF(B676="", "", "10090")</f>
        <v>0</v>
      </c>
      <c r="J676" s="2">
        <f>IF(B676="", "", "missing: not provided")</f>
        <v>0</v>
      </c>
      <c r="K676" s="1">
        <f>IF(B676="", "", "g")</f>
        <v>0</v>
      </c>
    </row>
    <row r="677" spans="1:11">
      <c r="A677">
        <f>IF(COUNTBLANK(B677:K677)&lt;&gt;COLUMNS(B677:K677),676,"")</f>
        <v>0</v>
      </c>
      <c r="C677" s="2">
        <f>IF(B677="", "", "missing: not provided")</f>
        <v>0</v>
      </c>
      <c r="D677" s="1">
        <f>IF(B677="", "", "weeks")</f>
        <v>0</v>
      </c>
      <c r="E677" s="1">
        <f>IF(B677="", "", "urban biome")</f>
        <v>0</v>
      </c>
      <c r="F677" s="1">
        <f>IF(B677="", "", "animal-associated habitat")</f>
        <v>0</v>
      </c>
      <c r="G677" s="1">
        <f>IF(B677="", "", "mouse")</f>
        <v>0</v>
      </c>
      <c r="H677" s="1">
        <f>IF(B677="", "", "Mus musculus")</f>
        <v>0</v>
      </c>
      <c r="I677" s="1">
        <f>IF(B677="", "", "10090")</f>
        <v>0</v>
      </c>
      <c r="J677" s="2">
        <f>IF(B677="", "", "missing: not provided")</f>
        <v>0</v>
      </c>
      <c r="K677" s="1">
        <f>IF(B677="", "", "g")</f>
        <v>0</v>
      </c>
    </row>
    <row r="678" spans="1:11">
      <c r="A678">
        <f>IF(COUNTBLANK(B678:K678)&lt;&gt;COLUMNS(B678:K678),677,"")</f>
        <v>0</v>
      </c>
      <c r="C678" s="2">
        <f>IF(B678="", "", "missing: not provided")</f>
        <v>0</v>
      </c>
      <c r="D678" s="1">
        <f>IF(B678="", "", "weeks")</f>
        <v>0</v>
      </c>
      <c r="E678" s="1">
        <f>IF(B678="", "", "urban biome")</f>
        <v>0</v>
      </c>
      <c r="F678" s="1">
        <f>IF(B678="", "", "animal-associated habitat")</f>
        <v>0</v>
      </c>
      <c r="G678" s="1">
        <f>IF(B678="", "", "mouse")</f>
        <v>0</v>
      </c>
      <c r="H678" s="1">
        <f>IF(B678="", "", "Mus musculus")</f>
        <v>0</v>
      </c>
      <c r="I678" s="1">
        <f>IF(B678="", "", "10090")</f>
        <v>0</v>
      </c>
      <c r="J678" s="2">
        <f>IF(B678="", "", "missing: not provided")</f>
        <v>0</v>
      </c>
      <c r="K678" s="1">
        <f>IF(B678="", "", "g")</f>
        <v>0</v>
      </c>
    </row>
    <row r="679" spans="1:11">
      <c r="A679">
        <f>IF(COUNTBLANK(B679:K679)&lt;&gt;COLUMNS(B679:K679),678,"")</f>
        <v>0</v>
      </c>
      <c r="C679" s="2">
        <f>IF(B679="", "", "missing: not provided")</f>
        <v>0</v>
      </c>
      <c r="D679" s="1">
        <f>IF(B679="", "", "weeks")</f>
        <v>0</v>
      </c>
      <c r="E679" s="1">
        <f>IF(B679="", "", "urban biome")</f>
        <v>0</v>
      </c>
      <c r="F679" s="1">
        <f>IF(B679="", "", "animal-associated habitat")</f>
        <v>0</v>
      </c>
      <c r="G679" s="1">
        <f>IF(B679="", "", "mouse")</f>
        <v>0</v>
      </c>
      <c r="H679" s="1">
        <f>IF(B679="", "", "Mus musculus")</f>
        <v>0</v>
      </c>
      <c r="I679" s="1">
        <f>IF(B679="", "", "10090")</f>
        <v>0</v>
      </c>
      <c r="J679" s="2">
        <f>IF(B679="", "", "missing: not provided")</f>
        <v>0</v>
      </c>
      <c r="K679" s="1">
        <f>IF(B679="", "", "g")</f>
        <v>0</v>
      </c>
    </row>
    <row r="680" spans="1:11">
      <c r="A680">
        <f>IF(COUNTBLANK(B680:K680)&lt;&gt;COLUMNS(B680:K680),679,"")</f>
        <v>0</v>
      </c>
      <c r="C680" s="2">
        <f>IF(B680="", "", "missing: not provided")</f>
        <v>0</v>
      </c>
      <c r="D680" s="1">
        <f>IF(B680="", "", "weeks")</f>
        <v>0</v>
      </c>
      <c r="E680" s="1">
        <f>IF(B680="", "", "urban biome")</f>
        <v>0</v>
      </c>
      <c r="F680" s="1">
        <f>IF(B680="", "", "animal-associated habitat")</f>
        <v>0</v>
      </c>
      <c r="G680" s="1">
        <f>IF(B680="", "", "mouse")</f>
        <v>0</v>
      </c>
      <c r="H680" s="1">
        <f>IF(B680="", "", "Mus musculus")</f>
        <v>0</v>
      </c>
      <c r="I680" s="1">
        <f>IF(B680="", "", "10090")</f>
        <v>0</v>
      </c>
      <c r="J680" s="2">
        <f>IF(B680="", "", "missing: not provided")</f>
        <v>0</v>
      </c>
      <c r="K680" s="1">
        <f>IF(B680="", "", "g")</f>
        <v>0</v>
      </c>
    </row>
    <row r="681" spans="1:11">
      <c r="A681">
        <f>IF(COUNTBLANK(B681:K681)&lt;&gt;COLUMNS(B681:K681),680,"")</f>
        <v>0</v>
      </c>
      <c r="C681" s="2">
        <f>IF(B681="", "", "missing: not provided")</f>
        <v>0</v>
      </c>
      <c r="D681" s="1">
        <f>IF(B681="", "", "weeks")</f>
        <v>0</v>
      </c>
      <c r="E681" s="1">
        <f>IF(B681="", "", "urban biome")</f>
        <v>0</v>
      </c>
      <c r="F681" s="1">
        <f>IF(B681="", "", "animal-associated habitat")</f>
        <v>0</v>
      </c>
      <c r="G681" s="1">
        <f>IF(B681="", "", "mouse")</f>
        <v>0</v>
      </c>
      <c r="H681" s="1">
        <f>IF(B681="", "", "Mus musculus")</f>
        <v>0</v>
      </c>
      <c r="I681" s="1">
        <f>IF(B681="", "", "10090")</f>
        <v>0</v>
      </c>
      <c r="J681" s="2">
        <f>IF(B681="", "", "missing: not provided")</f>
        <v>0</v>
      </c>
      <c r="K681" s="1">
        <f>IF(B681="", "", "g")</f>
        <v>0</v>
      </c>
    </row>
    <row r="682" spans="1:11">
      <c r="A682">
        <f>IF(COUNTBLANK(B682:K682)&lt;&gt;COLUMNS(B682:K682),681,"")</f>
        <v>0</v>
      </c>
      <c r="C682" s="2">
        <f>IF(B682="", "", "missing: not provided")</f>
        <v>0</v>
      </c>
      <c r="D682" s="1">
        <f>IF(B682="", "", "weeks")</f>
        <v>0</v>
      </c>
      <c r="E682" s="1">
        <f>IF(B682="", "", "urban biome")</f>
        <v>0</v>
      </c>
      <c r="F682" s="1">
        <f>IF(B682="", "", "animal-associated habitat")</f>
        <v>0</v>
      </c>
      <c r="G682" s="1">
        <f>IF(B682="", "", "mouse")</f>
        <v>0</v>
      </c>
      <c r="H682" s="1">
        <f>IF(B682="", "", "Mus musculus")</f>
        <v>0</v>
      </c>
      <c r="I682" s="1">
        <f>IF(B682="", "", "10090")</f>
        <v>0</v>
      </c>
      <c r="J682" s="2">
        <f>IF(B682="", "", "missing: not provided")</f>
        <v>0</v>
      </c>
      <c r="K682" s="1">
        <f>IF(B682="", "", "g")</f>
        <v>0</v>
      </c>
    </row>
    <row r="683" spans="1:11">
      <c r="A683">
        <f>IF(COUNTBLANK(B683:K683)&lt;&gt;COLUMNS(B683:K683),682,"")</f>
        <v>0</v>
      </c>
      <c r="C683" s="2">
        <f>IF(B683="", "", "missing: not provided")</f>
        <v>0</v>
      </c>
      <c r="D683" s="1">
        <f>IF(B683="", "", "weeks")</f>
        <v>0</v>
      </c>
      <c r="E683" s="1">
        <f>IF(B683="", "", "urban biome")</f>
        <v>0</v>
      </c>
      <c r="F683" s="1">
        <f>IF(B683="", "", "animal-associated habitat")</f>
        <v>0</v>
      </c>
      <c r="G683" s="1">
        <f>IF(B683="", "", "mouse")</f>
        <v>0</v>
      </c>
      <c r="H683" s="1">
        <f>IF(B683="", "", "Mus musculus")</f>
        <v>0</v>
      </c>
      <c r="I683" s="1">
        <f>IF(B683="", "", "10090")</f>
        <v>0</v>
      </c>
      <c r="J683" s="2">
        <f>IF(B683="", "", "missing: not provided")</f>
        <v>0</v>
      </c>
      <c r="K683" s="1">
        <f>IF(B683="", "", "g")</f>
        <v>0</v>
      </c>
    </row>
    <row r="684" spans="1:11">
      <c r="A684">
        <f>IF(COUNTBLANK(B684:K684)&lt;&gt;COLUMNS(B684:K684),683,"")</f>
        <v>0</v>
      </c>
      <c r="C684" s="2">
        <f>IF(B684="", "", "missing: not provided")</f>
        <v>0</v>
      </c>
      <c r="D684" s="1">
        <f>IF(B684="", "", "weeks")</f>
        <v>0</v>
      </c>
      <c r="E684" s="1">
        <f>IF(B684="", "", "urban biome")</f>
        <v>0</v>
      </c>
      <c r="F684" s="1">
        <f>IF(B684="", "", "animal-associated habitat")</f>
        <v>0</v>
      </c>
      <c r="G684" s="1">
        <f>IF(B684="", "", "mouse")</f>
        <v>0</v>
      </c>
      <c r="H684" s="1">
        <f>IF(B684="", "", "Mus musculus")</f>
        <v>0</v>
      </c>
      <c r="I684" s="1">
        <f>IF(B684="", "", "10090")</f>
        <v>0</v>
      </c>
      <c r="J684" s="2">
        <f>IF(B684="", "", "missing: not provided")</f>
        <v>0</v>
      </c>
      <c r="K684" s="1">
        <f>IF(B684="", "", "g")</f>
        <v>0</v>
      </c>
    </row>
    <row r="685" spans="1:11">
      <c r="A685">
        <f>IF(COUNTBLANK(B685:K685)&lt;&gt;COLUMNS(B685:K685),684,"")</f>
        <v>0</v>
      </c>
      <c r="C685" s="2">
        <f>IF(B685="", "", "missing: not provided")</f>
        <v>0</v>
      </c>
      <c r="D685" s="1">
        <f>IF(B685="", "", "weeks")</f>
        <v>0</v>
      </c>
      <c r="E685" s="1">
        <f>IF(B685="", "", "urban biome")</f>
        <v>0</v>
      </c>
      <c r="F685" s="1">
        <f>IF(B685="", "", "animal-associated habitat")</f>
        <v>0</v>
      </c>
      <c r="G685" s="1">
        <f>IF(B685="", "", "mouse")</f>
        <v>0</v>
      </c>
      <c r="H685" s="1">
        <f>IF(B685="", "", "Mus musculus")</f>
        <v>0</v>
      </c>
      <c r="I685" s="1">
        <f>IF(B685="", "", "10090")</f>
        <v>0</v>
      </c>
      <c r="J685" s="2">
        <f>IF(B685="", "", "missing: not provided")</f>
        <v>0</v>
      </c>
      <c r="K685" s="1">
        <f>IF(B685="", "", "g")</f>
        <v>0</v>
      </c>
    </row>
    <row r="686" spans="1:11">
      <c r="A686">
        <f>IF(COUNTBLANK(B686:K686)&lt;&gt;COLUMNS(B686:K686),685,"")</f>
        <v>0</v>
      </c>
      <c r="C686" s="2">
        <f>IF(B686="", "", "missing: not provided")</f>
        <v>0</v>
      </c>
      <c r="D686" s="1">
        <f>IF(B686="", "", "weeks")</f>
        <v>0</v>
      </c>
      <c r="E686" s="1">
        <f>IF(B686="", "", "urban biome")</f>
        <v>0</v>
      </c>
      <c r="F686" s="1">
        <f>IF(B686="", "", "animal-associated habitat")</f>
        <v>0</v>
      </c>
      <c r="G686" s="1">
        <f>IF(B686="", "", "mouse")</f>
        <v>0</v>
      </c>
      <c r="H686" s="1">
        <f>IF(B686="", "", "Mus musculus")</f>
        <v>0</v>
      </c>
      <c r="I686" s="1">
        <f>IF(B686="", "", "10090")</f>
        <v>0</v>
      </c>
      <c r="J686" s="2">
        <f>IF(B686="", "", "missing: not provided")</f>
        <v>0</v>
      </c>
      <c r="K686" s="1">
        <f>IF(B686="", "", "g")</f>
        <v>0</v>
      </c>
    </row>
    <row r="687" spans="1:11">
      <c r="A687">
        <f>IF(COUNTBLANK(B687:K687)&lt;&gt;COLUMNS(B687:K687),686,"")</f>
        <v>0</v>
      </c>
      <c r="C687" s="2">
        <f>IF(B687="", "", "missing: not provided")</f>
        <v>0</v>
      </c>
      <c r="D687" s="1">
        <f>IF(B687="", "", "weeks")</f>
        <v>0</v>
      </c>
      <c r="E687" s="1">
        <f>IF(B687="", "", "urban biome")</f>
        <v>0</v>
      </c>
      <c r="F687" s="1">
        <f>IF(B687="", "", "animal-associated habitat")</f>
        <v>0</v>
      </c>
      <c r="G687" s="1">
        <f>IF(B687="", "", "mouse")</f>
        <v>0</v>
      </c>
      <c r="H687" s="1">
        <f>IF(B687="", "", "Mus musculus")</f>
        <v>0</v>
      </c>
      <c r="I687" s="1">
        <f>IF(B687="", "", "10090")</f>
        <v>0</v>
      </c>
      <c r="J687" s="2">
        <f>IF(B687="", "", "missing: not provided")</f>
        <v>0</v>
      </c>
      <c r="K687" s="1">
        <f>IF(B687="", "", "g")</f>
        <v>0</v>
      </c>
    </row>
    <row r="688" spans="1:11">
      <c r="A688">
        <f>IF(COUNTBLANK(B688:K688)&lt;&gt;COLUMNS(B688:K688),687,"")</f>
        <v>0</v>
      </c>
      <c r="C688" s="2">
        <f>IF(B688="", "", "missing: not provided")</f>
        <v>0</v>
      </c>
      <c r="D688" s="1">
        <f>IF(B688="", "", "weeks")</f>
        <v>0</v>
      </c>
      <c r="E688" s="1">
        <f>IF(B688="", "", "urban biome")</f>
        <v>0</v>
      </c>
      <c r="F688" s="1">
        <f>IF(B688="", "", "animal-associated habitat")</f>
        <v>0</v>
      </c>
      <c r="G688" s="1">
        <f>IF(B688="", "", "mouse")</f>
        <v>0</v>
      </c>
      <c r="H688" s="1">
        <f>IF(B688="", "", "Mus musculus")</f>
        <v>0</v>
      </c>
      <c r="I688" s="1">
        <f>IF(B688="", "", "10090")</f>
        <v>0</v>
      </c>
      <c r="J688" s="2">
        <f>IF(B688="", "", "missing: not provided")</f>
        <v>0</v>
      </c>
      <c r="K688" s="1">
        <f>IF(B688="", "", "g")</f>
        <v>0</v>
      </c>
    </row>
    <row r="689" spans="1:11">
      <c r="A689">
        <f>IF(COUNTBLANK(B689:K689)&lt;&gt;COLUMNS(B689:K689),688,"")</f>
        <v>0</v>
      </c>
      <c r="C689" s="2">
        <f>IF(B689="", "", "missing: not provided")</f>
        <v>0</v>
      </c>
      <c r="D689" s="1">
        <f>IF(B689="", "", "weeks")</f>
        <v>0</v>
      </c>
      <c r="E689" s="1">
        <f>IF(B689="", "", "urban biome")</f>
        <v>0</v>
      </c>
      <c r="F689" s="1">
        <f>IF(B689="", "", "animal-associated habitat")</f>
        <v>0</v>
      </c>
      <c r="G689" s="1">
        <f>IF(B689="", "", "mouse")</f>
        <v>0</v>
      </c>
      <c r="H689" s="1">
        <f>IF(B689="", "", "Mus musculus")</f>
        <v>0</v>
      </c>
      <c r="I689" s="1">
        <f>IF(B689="", "", "10090")</f>
        <v>0</v>
      </c>
      <c r="J689" s="2">
        <f>IF(B689="", "", "missing: not provided")</f>
        <v>0</v>
      </c>
      <c r="K689" s="1">
        <f>IF(B689="", "", "g")</f>
        <v>0</v>
      </c>
    </row>
    <row r="690" spans="1:11">
      <c r="A690">
        <f>IF(COUNTBLANK(B690:K690)&lt;&gt;COLUMNS(B690:K690),689,"")</f>
        <v>0</v>
      </c>
      <c r="C690" s="2">
        <f>IF(B690="", "", "missing: not provided")</f>
        <v>0</v>
      </c>
      <c r="D690" s="1">
        <f>IF(B690="", "", "weeks")</f>
        <v>0</v>
      </c>
      <c r="E690" s="1">
        <f>IF(B690="", "", "urban biome")</f>
        <v>0</v>
      </c>
      <c r="F690" s="1">
        <f>IF(B690="", "", "animal-associated habitat")</f>
        <v>0</v>
      </c>
      <c r="G690" s="1">
        <f>IF(B690="", "", "mouse")</f>
        <v>0</v>
      </c>
      <c r="H690" s="1">
        <f>IF(B690="", "", "Mus musculus")</f>
        <v>0</v>
      </c>
      <c r="I690" s="1">
        <f>IF(B690="", "", "10090")</f>
        <v>0</v>
      </c>
      <c r="J690" s="2">
        <f>IF(B690="", "", "missing: not provided")</f>
        <v>0</v>
      </c>
      <c r="K690" s="1">
        <f>IF(B690="", "", "g")</f>
        <v>0</v>
      </c>
    </row>
    <row r="691" spans="1:11">
      <c r="A691">
        <f>IF(COUNTBLANK(B691:K691)&lt;&gt;COLUMNS(B691:K691),690,"")</f>
        <v>0</v>
      </c>
      <c r="C691" s="2">
        <f>IF(B691="", "", "missing: not provided")</f>
        <v>0</v>
      </c>
      <c r="D691" s="1">
        <f>IF(B691="", "", "weeks")</f>
        <v>0</v>
      </c>
      <c r="E691" s="1">
        <f>IF(B691="", "", "urban biome")</f>
        <v>0</v>
      </c>
      <c r="F691" s="1">
        <f>IF(B691="", "", "animal-associated habitat")</f>
        <v>0</v>
      </c>
      <c r="G691" s="1">
        <f>IF(B691="", "", "mouse")</f>
        <v>0</v>
      </c>
      <c r="H691" s="1">
        <f>IF(B691="", "", "Mus musculus")</f>
        <v>0</v>
      </c>
      <c r="I691" s="1">
        <f>IF(B691="", "", "10090")</f>
        <v>0</v>
      </c>
      <c r="J691" s="2">
        <f>IF(B691="", "", "missing: not provided")</f>
        <v>0</v>
      </c>
      <c r="K691" s="1">
        <f>IF(B691="", "", "g")</f>
        <v>0</v>
      </c>
    </row>
    <row r="692" spans="1:11">
      <c r="A692">
        <f>IF(COUNTBLANK(B692:K692)&lt;&gt;COLUMNS(B692:K692),691,"")</f>
        <v>0</v>
      </c>
      <c r="C692" s="2">
        <f>IF(B692="", "", "missing: not provided")</f>
        <v>0</v>
      </c>
      <c r="D692" s="1">
        <f>IF(B692="", "", "weeks")</f>
        <v>0</v>
      </c>
      <c r="E692" s="1">
        <f>IF(B692="", "", "urban biome")</f>
        <v>0</v>
      </c>
      <c r="F692" s="1">
        <f>IF(B692="", "", "animal-associated habitat")</f>
        <v>0</v>
      </c>
      <c r="G692" s="1">
        <f>IF(B692="", "", "mouse")</f>
        <v>0</v>
      </c>
      <c r="H692" s="1">
        <f>IF(B692="", "", "Mus musculus")</f>
        <v>0</v>
      </c>
      <c r="I692" s="1">
        <f>IF(B692="", "", "10090")</f>
        <v>0</v>
      </c>
      <c r="J692" s="2">
        <f>IF(B692="", "", "missing: not provided")</f>
        <v>0</v>
      </c>
      <c r="K692" s="1">
        <f>IF(B692="", "", "g")</f>
        <v>0</v>
      </c>
    </row>
    <row r="693" spans="1:11">
      <c r="A693">
        <f>IF(COUNTBLANK(B693:K693)&lt;&gt;COLUMNS(B693:K693),692,"")</f>
        <v>0</v>
      </c>
      <c r="C693" s="2">
        <f>IF(B693="", "", "missing: not provided")</f>
        <v>0</v>
      </c>
      <c r="D693" s="1">
        <f>IF(B693="", "", "weeks")</f>
        <v>0</v>
      </c>
      <c r="E693" s="1">
        <f>IF(B693="", "", "urban biome")</f>
        <v>0</v>
      </c>
      <c r="F693" s="1">
        <f>IF(B693="", "", "animal-associated habitat")</f>
        <v>0</v>
      </c>
      <c r="G693" s="1">
        <f>IF(B693="", "", "mouse")</f>
        <v>0</v>
      </c>
      <c r="H693" s="1">
        <f>IF(B693="", "", "Mus musculus")</f>
        <v>0</v>
      </c>
      <c r="I693" s="1">
        <f>IF(B693="", "", "10090")</f>
        <v>0</v>
      </c>
      <c r="J693" s="2">
        <f>IF(B693="", "", "missing: not provided")</f>
        <v>0</v>
      </c>
      <c r="K693" s="1">
        <f>IF(B693="", "", "g")</f>
        <v>0</v>
      </c>
    </row>
    <row r="694" spans="1:11">
      <c r="A694">
        <f>IF(COUNTBLANK(B694:K694)&lt;&gt;COLUMNS(B694:K694),693,"")</f>
        <v>0</v>
      </c>
      <c r="C694" s="2">
        <f>IF(B694="", "", "missing: not provided")</f>
        <v>0</v>
      </c>
      <c r="D694" s="1">
        <f>IF(B694="", "", "weeks")</f>
        <v>0</v>
      </c>
      <c r="E694" s="1">
        <f>IF(B694="", "", "urban biome")</f>
        <v>0</v>
      </c>
      <c r="F694" s="1">
        <f>IF(B694="", "", "animal-associated habitat")</f>
        <v>0</v>
      </c>
      <c r="G694" s="1">
        <f>IF(B694="", "", "mouse")</f>
        <v>0</v>
      </c>
      <c r="H694" s="1">
        <f>IF(B694="", "", "Mus musculus")</f>
        <v>0</v>
      </c>
      <c r="I694" s="1">
        <f>IF(B694="", "", "10090")</f>
        <v>0</v>
      </c>
      <c r="J694" s="2">
        <f>IF(B694="", "", "missing: not provided")</f>
        <v>0</v>
      </c>
      <c r="K694" s="1">
        <f>IF(B694="", "", "g")</f>
        <v>0</v>
      </c>
    </row>
    <row r="695" spans="1:11">
      <c r="A695">
        <f>IF(COUNTBLANK(B695:K695)&lt;&gt;COLUMNS(B695:K695),694,"")</f>
        <v>0</v>
      </c>
      <c r="C695" s="2">
        <f>IF(B695="", "", "missing: not provided")</f>
        <v>0</v>
      </c>
      <c r="D695" s="1">
        <f>IF(B695="", "", "weeks")</f>
        <v>0</v>
      </c>
      <c r="E695" s="1">
        <f>IF(B695="", "", "urban biome")</f>
        <v>0</v>
      </c>
      <c r="F695" s="1">
        <f>IF(B695="", "", "animal-associated habitat")</f>
        <v>0</v>
      </c>
      <c r="G695" s="1">
        <f>IF(B695="", "", "mouse")</f>
        <v>0</v>
      </c>
      <c r="H695" s="1">
        <f>IF(B695="", "", "Mus musculus")</f>
        <v>0</v>
      </c>
      <c r="I695" s="1">
        <f>IF(B695="", "", "10090")</f>
        <v>0</v>
      </c>
      <c r="J695" s="2">
        <f>IF(B695="", "", "missing: not provided")</f>
        <v>0</v>
      </c>
      <c r="K695" s="1">
        <f>IF(B695="", "", "g")</f>
        <v>0</v>
      </c>
    </row>
    <row r="696" spans="1:11">
      <c r="A696">
        <f>IF(COUNTBLANK(B696:K696)&lt;&gt;COLUMNS(B696:K696),695,"")</f>
        <v>0</v>
      </c>
      <c r="C696" s="2">
        <f>IF(B696="", "", "missing: not provided")</f>
        <v>0</v>
      </c>
      <c r="D696" s="1">
        <f>IF(B696="", "", "weeks")</f>
        <v>0</v>
      </c>
      <c r="E696" s="1">
        <f>IF(B696="", "", "urban biome")</f>
        <v>0</v>
      </c>
      <c r="F696" s="1">
        <f>IF(B696="", "", "animal-associated habitat")</f>
        <v>0</v>
      </c>
      <c r="G696" s="1">
        <f>IF(B696="", "", "mouse")</f>
        <v>0</v>
      </c>
      <c r="H696" s="1">
        <f>IF(B696="", "", "Mus musculus")</f>
        <v>0</v>
      </c>
      <c r="I696" s="1">
        <f>IF(B696="", "", "10090")</f>
        <v>0</v>
      </c>
      <c r="J696" s="2">
        <f>IF(B696="", "", "missing: not provided")</f>
        <v>0</v>
      </c>
      <c r="K696" s="1">
        <f>IF(B696="", "", "g")</f>
        <v>0</v>
      </c>
    </row>
    <row r="697" spans="1:11">
      <c r="A697">
        <f>IF(COUNTBLANK(B697:K697)&lt;&gt;COLUMNS(B697:K697),696,"")</f>
        <v>0</v>
      </c>
      <c r="C697" s="2">
        <f>IF(B697="", "", "missing: not provided")</f>
        <v>0</v>
      </c>
      <c r="D697" s="1">
        <f>IF(B697="", "", "weeks")</f>
        <v>0</v>
      </c>
      <c r="E697" s="1">
        <f>IF(B697="", "", "urban biome")</f>
        <v>0</v>
      </c>
      <c r="F697" s="1">
        <f>IF(B697="", "", "animal-associated habitat")</f>
        <v>0</v>
      </c>
      <c r="G697" s="1">
        <f>IF(B697="", "", "mouse")</f>
        <v>0</v>
      </c>
      <c r="H697" s="1">
        <f>IF(B697="", "", "Mus musculus")</f>
        <v>0</v>
      </c>
      <c r="I697" s="1">
        <f>IF(B697="", "", "10090")</f>
        <v>0</v>
      </c>
      <c r="J697" s="2">
        <f>IF(B697="", "", "missing: not provided")</f>
        <v>0</v>
      </c>
      <c r="K697" s="1">
        <f>IF(B697="", "", "g")</f>
        <v>0</v>
      </c>
    </row>
    <row r="698" spans="1:11">
      <c r="A698">
        <f>IF(COUNTBLANK(B698:K698)&lt;&gt;COLUMNS(B698:K698),697,"")</f>
        <v>0</v>
      </c>
      <c r="C698" s="2">
        <f>IF(B698="", "", "missing: not provided")</f>
        <v>0</v>
      </c>
      <c r="D698" s="1">
        <f>IF(B698="", "", "weeks")</f>
        <v>0</v>
      </c>
      <c r="E698" s="1">
        <f>IF(B698="", "", "urban biome")</f>
        <v>0</v>
      </c>
      <c r="F698" s="1">
        <f>IF(B698="", "", "animal-associated habitat")</f>
        <v>0</v>
      </c>
      <c r="G698" s="1">
        <f>IF(B698="", "", "mouse")</f>
        <v>0</v>
      </c>
      <c r="H698" s="1">
        <f>IF(B698="", "", "Mus musculus")</f>
        <v>0</v>
      </c>
      <c r="I698" s="1">
        <f>IF(B698="", "", "10090")</f>
        <v>0</v>
      </c>
      <c r="J698" s="2">
        <f>IF(B698="", "", "missing: not provided")</f>
        <v>0</v>
      </c>
      <c r="K698" s="1">
        <f>IF(B698="", "", "g")</f>
        <v>0</v>
      </c>
    </row>
    <row r="699" spans="1:11">
      <c r="A699">
        <f>IF(COUNTBLANK(B699:K699)&lt;&gt;COLUMNS(B699:K699),698,"")</f>
        <v>0</v>
      </c>
      <c r="C699" s="2">
        <f>IF(B699="", "", "missing: not provided")</f>
        <v>0</v>
      </c>
      <c r="D699" s="1">
        <f>IF(B699="", "", "weeks")</f>
        <v>0</v>
      </c>
      <c r="E699" s="1">
        <f>IF(B699="", "", "urban biome")</f>
        <v>0</v>
      </c>
      <c r="F699" s="1">
        <f>IF(B699="", "", "animal-associated habitat")</f>
        <v>0</v>
      </c>
      <c r="G699" s="1">
        <f>IF(B699="", "", "mouse")</f>
        <v>0</v>
      </c>
      <c r="H699" s="1">
        <f>IF(B699="", "", "Mus musculus")</f>
        <v>0</v>
      </c>
      <c r="I699" s="1">
        <f>IF(B699="", "", "10090")</f>
        <v>0</v>
      </c>
      <c r="J699" s="2">
        <f>IF(B699="", "", "missing: not provided")</f>
        <v>0</v>
      </c>
      <c r="K699" s="1">
        <f>IF(B699="", "", "g")</f>
        <v>0</v>
      </c>
    </row>
    <row r="700" spans="1:11">
      <c r="A700">
        <f>IF(COUNTBLANK(B700:K700)&lt;&gt;COLUMNS(B700:K700),699,"")</f>
        <v>0</v>
      </c>
      <c r="C700" s="2">
        <f>IF(B700="", "", "missing: not provided")</f>
        <v>0</v>
      </c>
      <c r="D700" s="1">
        <f>IF(B700="", "", "weeks")</f>
        <v>0</v>
      </c>
      <c r="E700" s="1">
        <f>IF(B700="", "", "urban biome")</f>
        <v>0</v>
      </c>
      <c r="F700" s="1">
        <f>IF(B700="", "", "animal-associated habitat")</f>
        <v>0</v>
      </c>
      <c r="G700" s="1">
        <f>IF(B700="", "", "mouse")</f>
        <v>0</v>
      </c>
      <c r="H700" s="1">
        <f>IF(B700="", "", "Mus musculus")</f>
        <v>0</v>
      </c>
      <c r="I700" s="1">
        <f>IF(B700="", "", "10090")</f>
        <v>0</v>
      </c>
      <c r="J700" s="2">
        <f>IF(B700="", "", "missing: not provided")</f>
        <v>0</v>
      </c>
      <c r="K700" s="1">
        <f>IF(B700="", "", "g")</f>
        <v>0</v>
      </c>
    </row>
    <row r="701" spans="1:11">
      <c r="A701">
        <f>IF(COUNTBLANK(B701:K701)&lt;&gt;COLUMNS(B701:K701),700,"")</f>
        <v>0</v>
      </c>
      <c r="C701" s="2">
        <f>IF(B701="", "", "missing: not provided")</f>
        <v>0</v>
      </c>
      <c r="D701" s="1">
        <f>IF(B701="", "", "weeks")</f>
        <v>0</v>
      </c>
      <c r="E701" s="1">
        <f>IF(B701="", "", "urban biome")</f>
        <v>0</v>
      </c>
      <c r="F701" s="1">
        <f>IF(B701="", "", "animal-associated habitat")</f>
        <v>0</v>
      </c>
      <c r="G701" s="1">
        <f>IF(B701="", "", "mouse")</f>
        <v>0</v>
      </c>
      <c r="H701" s="1">
        <f>IF(B701="", "", "Mus musculus")</f>
        <v>0</v>
      </c>
      <c r="I701" s="1">
        <f>IF(B701="", "", "10090")</f>
        <v>0</v>
      </c>
      <c r="J701" s="2">
        <f>IF(B701="", "", "missing: not provided")</f>
        <v>0</v>
      </c>
      <c r="K701" s="1">
        <f>IF(B701="", "", "g")</f>
        <v>0</v>
      </c>
    </row>
    <row r="702" spans="1:11">
      <c r="A702">
        <f>IF(COUNTBLANK(B702:K702)&lt;&gt;COLUMNS(B702:K702),701,"")</f>
        <v>0</v>
      </c>
      <c r="C702" s="2">
        <f>IF(B702="", "", "missing: not provided")</f>
        <v>0</v>
      </c>
      <c r="D702" s="1">
        <f>IF(B702="", "", "weeks")</f>
        <v>0</v>
      </c>
      <c r="E702" s="1">
        <f>IF(B702="", "", "urban biome")</f>
        <v>0</v>
      </c>
      <c r="F702" s="1">
        <f>IF(B702="", "", "animal-associated habitat")</f>
        <v>0</v>
      </c>
      <c r="G702" s="1">
        <f>IF(B702="", "", "mouse")</f>
        <v>0</v>
      </c>
      <c r="H702" s="1">
        <f>IF(B702="", "", "Mus musculus")</f>
        <v>0</v>
      </c>
      <c r="I702" s="1">
        <f>IF(B702="", "", "10090")</f>
        <v>0</v>
      </c>
      <c r="J702" s="2">
        <f>IF(B702="", "", "missing: not provided")</f>
        <v>0</v>
      </c>
      <c r="K702" s="1">
        <f>IF(B702="", "", "g")</f>
        <v>0</v>
      </c>
    </row>
    <row r="703" spans="1:11">
      <c r="A703">
        <f>IF(COUNTBLANK(B703:K703)&lt;&gt;COLUMNS(B703:K703),702,"")</f>
        <v>0</v>
      </c>
      <c r="C703" s="2">
        <f>IF(B703="", "", "missing: not provided")</f>
        <v>0</v>
      </c>
      <c r="D703" s="1">
        <f>IF(B703="", "", "weeks")</f>
        <v>0</v>
      </c>
      <c r="E703" s="1">
        <f>IF(B703="", "", "urban biome")</f>
        <v>0</v>
      </c>
      <c r="F703" s="1">
        <f>IF(B703="", "", "animal-associated habitat")</f>
        <v>0</v>
      </c>
      <c r="G703" s="1">
        <f>IF(B703="", "", "mouse")</f>
        <v>0</v>
      </c>
      <c r="H703" s="1">
        <f>IF(B703="", "", "Mus musculus")</f>
        <v>0</v>
      </c>
      <c r="I703" s="1">
        <f>IF(B703="", "", "10090")</f>
        <v>0</v>
      </c>
      <c r="J703" s="2">
        <f>IF(B703="", "", "missing: not provided")</f>
        <v>0</v>
      </c>
      <c r="K703" s="1">
        <f>IF(B703="", "", "g")</f>
        <v>0</v>
      </c>
    </row>
    <row r="704" spans="1:11">
      <c r="A704">
        <f>IF(COUNTBLANK(B704:K704)&lt;&gt;COLUMNS(B704:K704),703,"")</f>
        <v>0</v>
      </c>
      <c r="C704" s="2">
        <f>IF(B704="", "", "missing: not provided")</f>
        <v>0</v>
      </c>
      <c r="D704" s="1">
        <f>IF(B704="", "", "weeks")</f>
        <v>0</v>
      </c>
      <c r="E704" s="1">
        <f>IF(B704="", "", "urban biome")</f>
        <v>0</v>
      </c>
      <c r="F704" s="1">
        <f>IF(B704="", "", "animal-associated habitat")</f>
        <v>0</v>
      </c>
      <c r="G704" s="1">
        <f>IF(B704="", "", "mouse")</f>
        <v>0</v>
      </c>
      <c r="H704" s="1">
        <f>IF(B704="", "", "Mus musculus")</f>
        <v>0</v>
      </c>
      <c r="I704" s="1">
        <f>IF(B704="", "", "10090")</f>
        <v>0</v>
      </c>
      <c r="J704" s="2">
        <f>IF(B704="", "", "missing: not provided")</f>
        <v>0</v>
      </c>
      <c r="K704" s="1">
        <f>IF(B704="", "", "g")</f>
        <v>0</v>
      </c>
    </row>
    <row r="705" spans="1:11">
      <c r="A705">
        <f>IF(COUNTBLANK(B705:K705)&lt;&gt;COLUMNS(B705:K705),704,"")</f>
        <v>0</v>
      </c>
      <c r="C705" s="2">
        <f>IF(B705="", "", "missing: not provided")</f>
        <v>0</v>
      </c>
      <c r="D705" s="1">
        <f>IF(B705="", "", "weeks")</f>
        <v>0</v>
      </c>
      <c r="E705" s="1">
        <f>IF(B705="", "", "urban biome")</f>
        <v>0</v>
      </c>
      <c r="F705" s="1">
        <f>IF(B705="", "", "animal-associated habitat")</f>
        <v>0</v>
      </c>
      <c r="G705" s="1">
        <f>IF(B705="", "", "mouse")</f>
        <v>0</v>
      </c>
      <c r="H705" s="1">
        <f>IF(B705="", "", "Mus musculus")</f>
        <v>0</v>
      </c>
      <c r="I705" s="1">
        <f>IF(B705="", "", "10090")</f>
        <v>0</v>
      </c>
      <c r="J705" s="2">
        <f>IF(B705="", "", "missing: not provided")</f>
        <v>0</v>
      </c>
      <c r="K705" s="1">
        <f>IF(B705="", "", "g")</f>
        <v>0</v>
      </c>
    </row>
    <row r="706" spans="1:11">
      <c r="A706">
        <f>IF(COUNTBLANK(B706:K706)&lt;&gt;COLUMNS(B706:K706),705,"")</f>
        <v>0</v>
      </c>
      <c r="C706" s="2">
        <f>IF(B706="", "", "missing: not provided")</f>
        <v>0</v>
      </c>
      <c r="D706" s="1">
        <f>IF(B706="", "", "weeks")</f>
        <v>0</v>
      </c>
      <c r="E706" s="1">
        <f>IF(B706="", "", "urban biome")</f>
        <v>0</v>
      </c>
      <c r="F706" s="1">
        <f>IF(B706="", "", "animal-associated habitat")</f>
        <v>0</v>
      </c>
      <c r="G706" s="1">
        <f>IF(B706="", "", "mouse")</f>
        <v>0</v>
      </c>
      <c r="H706" s="1">
        <f>IF(B706="", "", "Mus musculus")</f>
        <v>0</v>
      </c>
      <c r="I706" s="1">
        <f>IF(B706="", "", "10090")</f>
        <v>0</v>
      </c>
      <c r="J706" s="2">
        <f>IF(B706="", "", "missing: not provided")</f>
        <v>0</v>
      </c>
      <c r="K706" s="1">
        <f>IF(B706="", "", "g")</f>
        <v>0</v>
      </c>
    </row>
    <row r="707" spans="1:11">
      <c r="A707">
        <f>IF(COUNTBLANK(B707:K707)&lt;&gt;COLUMNS(B707:K707),706,"")</f>
        <v>0</v>
      </c>
      <c r="C707" s="2">
        <f>IF(B707="", "", "missing: not provided")</f>
        <v>0</v>
      </c>
      <c r="D707" s="1">
        <f>IF(B707="", "", "weeks")</f>
        <v>0</v>
      </c>
      <c r="E707" s="1">
        <f>IF(B707="", "", "urban biome")</f>
        <v>0</v>
      </c>
      <c r="F707" s="1">
        <f>IF(B707="", "", "animal-associated habitat")</f>
        <v>0</v>
      </c>
      <c r="G707" s="1">
        <f>IF(B707="", "", "mouse")</f>
        <v>0</v>
      </c>
      <c r="H707" s="1">
        <f>IF(B707="", "", "Mus musculus")</f>
        <v>0</v>
      </c>
      <c r="I707" s="1">
        <f>IF(B707="", "", "10090")</f>
        <v>0</v>
      </c>
      <c r="J707" s="2">
        <f>IF(B707="", "", "missing: not provided")</f>
        <v>0</v>
      </c>
      <c r="K707" s="1">
        <f>IF(B707="", "", "g")</f>
        <v>0</v>
      </c>
    </row>
    <row r="708" spans="1:11">
      <c r="A708">
        <f>IF(COUNTBLANK(B708:K708)&lt;&gt;COLUMNS(B708:K708),707,"")</f>
        <v>0</v>
      </c>
      <c r="C708" s="2">
        <f>IF(B708="", "", "missing: not provided")</f>
        <v>0</v>
      </c>
      <c r="D708" s="1">
        <f>IF(B708="", "", "weeks")</f>
        <v>0</v>
      </c>
      <c r="E708" s="1">
        <f>IF(B708="", "", "urban biome")</f>
        <v>0</v>
      </c>
      <c r="F708" s="1">
        <f>IF(B708="", "", "animal-associated habitat")</f>
        <v>0</v>
      </c>
      <c r="G708" s="1">
        <f>IF(B708="", "", "mouse")</f>
        <v>0</v>
      </c>
      <c r="H708" s="1">
        <f>IF(B708="", "", "Mus musculus")</f>
        <v>0</v>
      </c>
      <c r="I708" s="1">
        <f>IF(B708="", "", "10090")</f>
        <v>0</v>
      </c>
      <c r="J708" s="2">
        <f>IF(B708="", "", "missing: not provided")</f>
        <v>0</v>
      </c>
      <c r="K708" s="1">
        <f>IF(B708="", "", "g")</f>
        <v>0</v>
      </c>
    </row>
    <row r="709" spans="1:11">
      <c r="A709">
        <f>IF(COUNTBLANK(B709:K709)&lt;&gt;COLUMNS(B709:K709),708,"")</f>
        <v>0</v>
      </c>
      <c r="C709" s="2">
        <f>IF(B709="", "", "missing: not provided")</f>
        <v>0</v>
      </c>
      <c r="D709" s="1">
        <f>IF(B709="", "", "weeks")</f>
        <v>0</v>
      </c>
      <c r="E709" s="1">
        <f>IF(B709="", "", "urban biome")</f>
        <v>0</v>
      </c>
      <c r="F709" s="1">
        <f>IF(B709="", "", "animal-associated habitat")</f>
        <v>0</v>
      </c>
      <c r="G709" s="1">
        <f>IF(B709="", "", "mouse")</f>
        <v>0</v>
      </c>
      <c r="H709" s="1">
        <f>IF(B709="", "", "Mus musculus")</f>
        <v>0</v>
      </c>
      <c r="I709" s="1">
        <f>IF(B709="", "", "10090")</f>
        <v>0</v>
      </c>
      <c r="J709" s="2">
        <f>IF(B709="", "", "missing: not provided")</f>
        <v>0</v>
      </c>
      <c r="K709" s="1">
        <f>IF(B709="", "", "g")</f>
        <v>0</v>
      </c>
    </row>
    <row r="710" spans="1:11">
      <c r="A710">
        <f>IF(COUNTBLANK(B710:K710)&lt;&gt;COLUMNS(B710:K710),709,"")</f>
        <v>0</v>
      </c>
      <c r="C710" s="2">
        <f>IF(B710="", "", "missing: not provided")</f>
        <v>0</v>
      </c>
      <c r="D710" s="1">
        <f>IF(B710="", "", "weeks")</f>
        <v>0</v>
      </c>
      <c r="E710" s="1">
        <f>IF(B710="", "", "urban biome")</f>
        <v>0</v>
      </c>
      <c r="F710" s="1">
        <f>IF(B710="", "", "animal-associated habitat")</f>
        <v>0</v>
      </c>
      <c r="G710" s="1">
        <f>IF(B710="", "", "mouse")</f>
        <v>0</v>
      </c>
      <c r="H710" s="1">
        <f>IF(B710="", "", "Mus musculus")</f>
        <v>0</v>
      </c>
      <c r="I710" s="1">
        <f>IF(B710="", "", "10090")</f>
        <v>0</v>
      </c>
      <c r="J710" s="2">
        <f>IF(B710="", "", "missing: not provided")</f>
        <v>0</v>
      </c>
      <c r="K710" s="1">
        <f>IF(B710="", "", "g")</f>
        <v>0</v>
      </c>
    </row>
    <row r="711" spans="1:11">
      <c r="A711">
        <f>IF(COUNTBLANK(B711:K711)&lt;&gt;COLUMNS(B711:K711),710,"")</f>
        <v>0</v>
      </c>
      <c r="C711" s="2">
        <f>IF(B711="", "", "missing: not provided")</f>
        <v>0</v>
      </c>
      <c r="D711" s="1">
        <f>IF(B711="", "", "weeks")</f>
        <v>0</v>
      </c>
      <c r="E711" s="1">
        <f>IF(B711="", "", "urban biome")</f>
        <v>0</v>
      </c>
      <c r="F711" s="1">
        <f>IF(B711="", "", "animal-associated habitat")</f>
        <v>0</v>
      </c>
      <c r="G711" s="1">
        <f>IF(B711="", "", "mouse")</f>
        <v>0</v>
      </c>
      <c r="H711" s="1">
        <f>IF(B711="", "", "Mus musculus")</f>
        <v>0</v>
      </c>
      <c r="I711" s="1">
        <f>IF(B711="", "", "10090")</f>
        <v>0</v>
      </c>
      <c r="J711" s="2">
        <f>IF(B711="", "", "missing: not provided")</f>
        <v>0</v>
      </c>
      <c r="K711" s="1">
        <f>IF(B711="", "", "g")</f>
        <v>0</v>
      </c>
    </row>
    <row r="712" spans="1:11">
      <c r="A712">
        <f>IF(COUNTBLANK(B712:K712)&lt;&gt;COLUMNS(B712:K712),711,"")</f>
        <v>0</v>
      </c>
      <c r="C712" s="2">
        <f>IF(B712="", "", "missing: not provided")</f>
        <v>0</v>
      </c>
      <c r="D712" s="1">
        <f>IF(B712="", "", "weeks")</f>
        <v>0</v>
      </c>
      <c r="E712" s="1">
        <f>IF(B712="", "", "urban biome")</f>
        <v>0</v>
      </c>
      <c r="F712" s="1">
        <f>IF(B712="", "", "animal-associated habitat")</f>
        <v>0</v>
      </c>
      <c r="G712" s="1">
        <f>IF(B712="", "", "mouse")</f>
        <v>0</v>
      </c>
      <c r="H712" s="1">
        <f>IF(B712="", "", "Mus musculus")</f>
        <v>0</v>
      </c>
      <c r="I712" s="1">
        <f>IF(B712="", "", "10090")</f>
        <v>0</v>
      </c>
      <c r="J712" s="2">
        <f>IF(B712="", "", "missing: not provided")</f>
        <v>0</v>
      </c>
      <c r="K712" s="1">
        <f>IF(B712="", "", "g")</f>
        <v>0</v>
      </c>
    </row>
    <row r="713" spans="1:11">
      <c r="A713">
        <f>IF(COUNTBLANK(B713:K713)&lt;&gt;COLUMNS(B713:K713),712,"")</f>
        <v>0</v>
      </c>
      <c r="C713" s="2">
        <f>IF(B713="", "", "missing: not provided")</f>
        <v>0</v>
      </c>
      <c r="D713" s="1">
        <f>IF(B713="", "", "weeks")</f>
        <v>0</v>
      </c>
      <c r="E713" s="1">
        <f>IF(B713="", "", "urban biome")</f>
        <v>0</v>
      </c>
      <c r="F713" s="1">
        <f>IF(B713="", "", "animal-associated habitat")</f>
        <v>0</v>
      </c>
      <c r="G713" s="1">
        <f>IF(B713="", "", "mouse")</f>
        <v>0</v>
      </c>
      <c r="H713" s="1">
        <f>IF(B713="", "", "Mus musculus")</f>
        <v>0</v>
      </c>
      <c r="I713" s="1">
        <f>IF(B713="", "", "10090")</f>
        <v>0</v>
      </c>
      <c r="J713" s="2">
        <f>IF(B713="", "", "missing: not provided")</f>
        <v>0</v>
      </c>
      <c r="K713" s="1">
        <f>IF(B713="", "", "g")</f>
        <v>0</v>
      </c>
    </row>
    <row r="714" spans="1:11">
      <c r="A714">
        <f>IF(COUNTBLANK(B714:K714)&lt;&gt;COLUMNS(B714:K714),713,"")</f>
        <v>0</v>
      </c>
      <c r="C714" s="2">
        <f>IF(B714="", "", "missing: not provided")</f>
        <v>0</v>
      </c>
      <c r="D714" s="1">
        <f>IF(B714="", "", "weeks")</f>
        <v>0</v>
      </c>
      <c r="E714" s="1">
        <f>IF(B714="", "", "urban biome")</f>
        <v>0</v>
      </c>
      <c r="F714" s="1">
        <f>IF(B714="", "", "animal-associated habitat")</f>
        <v>0</v>
      </c>
      <c r="G714" s="1">
        <f>IF(B714="", "", "mouse")</f>
        <v>0</v>
      </c>
      <c r="H714" s="1">
        <f>IF(B714="", "", "Mus musculus")</f>
        <v>0</v>
      </c>
      <c r="I714" s="1">
        <f>IF(B714="", "", "10090")</f>
        <v>0</v>
      </c>
      <c r="J714" s="2">
        <f>IF(B714="", "", "missing: not provided")</f>
        <v>0</v>
      </c>
      <c r="K714" s="1">
        <f>IF(B714="", "", "g")</f>
        <v>0</v>
      </c>
    </row>
    <row r="715" spans="1:11">
      <c r="A715">
        <f>IF(COUNTBLANK(B715:K715)&lt;&gt;COLUMNS(B715:K715),714,"")</f>
        <v>0</v>
      </c>
      <c r="C715" s="2">
        <f>IF(B715="", "", "missing: not provided")</f>
        <v>0</v>
      </c>
      <c r="D715" s="1">
        <f>IF(B715="", "", "weeks")</f>
        <v>0</v>
      </c>
      <c r="E715" s="1">
        <f>IF(B715="", "", "urban biome")</f>
        <v>0</v>
      </c>
      <c r="F715" s="1">
        <f>IF(B715="", "", "animal-associated habitat")</f>
        <v>0</v>
      </c>
      <c r="G715" s="1">
        <f>IF(B715="", "", "mouse")</f>
        <v>0</v>
      </c>
      <c r="H715" s="1">
        <f>IF(B715="", "", "Mus musculus")</f>
        <v>0</v>
      </c>
      <c r="I715" s="1">
        <f>IF(B715="", "", "10090")</f>
        <v>0</v>
      </c>
      <c r="J715" s="2">
        <f>IF(B715="", "", "missing: not provided")</f>
        <v>0</v>
      </c>
      <c r="K715" s="1">
        <f>IF(B715="", "", "g")</f>
        <v>0</v>
      </c>
    </row>
    <row r="716" spans="1:11">
      <c r="A716">
        <f>IF(COUNTBLANK(B716:K716)&lt;&gt;COLUMNS(B716:K716),715,"")</f>
        <v>0</v>
      </c>
      <c r="C716" s="2">
        <f>IF(B716="", "", "missing: not provided")</f>
        <v>0</v>
      </c>
      <c r="D716" s="1">
        <f>IF(B716="", "", "weeks")</f>
        <v>0</v>
      </c>
      <c r="E716" s="1">
        <f>IF(B716="", "", "urban biome")</f>
        <v>0</v>
      </c>
      <c r="F716" s="1">
        <f>IF(B716="", "", "animal-associated habitat")</f>
        <v>0</v>
      </c>
      <c r="G716" s="1">
        <f>IF(B716="", "", "mouse")</f>
        <v>0</v>
      </c>
      <c r="H716" s="1">
        <f>IF(B716="", "", "Mus musculus")</f>
        <v>0</v>
      </c>
      <c r="I716" s="1">
        <f>IF(B716="", "", "10090")</f>
        <v>0</v>
      </c>
      <c r="J716" s="2">
        <f>IF(B716="", "", "missing: not provided")</f>
        <v>0</v>
      </c>
      <c r="K716" s="1">
        <f>IF(B716="", "", "g")</f>
        <v>0</v>
      </c>
    </row>
    <row r="717" spans="1:11">
      <c r="A717">
        <f>IF(COUNTBLANK(B717:K717)&lt;&gt;COLUMNS(B717:K717),716,"")</f>
        <v>0</v>
      </c>
      <c r="C717" s="2">
        <f>IF(B717="", "", "missing: not provided")</f>
        <v>0</v>
      </c>
      <c r="D717" s="1">
        <f>IF(B717="", "", "weeks")</f>
        <v>0</v>
      </c>
      <c r="E717" s="1">
        <f>IF(B717="", "", "urban biome")</f>
        <v>0</v>
      </c>
      <c r="F717" s="1">
        <f>IF(B717="", "", "animal-associated habitat")</f>
        <v>0</v>
      </c>
      <c r="G717" s="1">
        <f>IF(B717="", "", "mouse")</f>
        <v>0</v>
      </c>
      <c r="H717" s="1">
        <f>IF(B717="", "", "Mus musculus")</f>
        <v>0</v>
      </c>
      <c r="I717" s="1">
        <f>IF(B717="", "", "10090")</f>
        <v>0</v>
      </c>
      <c r="J717" s="2">
        <f>IF(B717="", "", "missing: not provided")</f>
        <v>0</v>
      </c>
      <c r="K717" s="1">
        <f>IF(B717="", "", "g")</f>
        <v>0</v>
      </c>
    </row>
    <row r="718" spans="1:11">
      <c r="A718">
        <f>IF(COUNTBLANK(B718:K718)&lt;&gt;COLUMNS(B718:K718),717,"")</f>
        <v>0</v>
      </c>
      <c r="C718" s="2">
        <f>IF(B718="", "", "missing: not provided")</f>
        <v>0</v>
      </c>
      <c r="D718" s="1">
        <f>IF(B718="", "", "weeks")</f>
        <v>0</v>
      </c>
      <c r="E718" s="1">
        <f>IF(B718="", "", "urban biome")</f>
        <v>0</v>
      </c>
      <c r="F718" s="1">
        <f>IF(B718="", "", "animal-associated habitat")</f>
        <v>0</v>
      </c>
      <c r="G718" s="1">
        <f>IF(B718="", "", "mouse")</f>
        <v>0</v>
      </c>
      <c r="H718" s="1">
        <f>IF(B718="", "", "Mus musculus")</f>
        <v>0</v>
      </c>
      <c r="I718" s="1">
        <f>IF(B718="", "", "10090")</f>
        <v>0</v>
      </c>
      <c r="J718" s="2">
        <f>IF(B718="", "", "missing: not provided")</f>
        <v>0</v>
      </c>
      <c r="K718" s="1">
        <f>IF(B718="", "", "g")</f>
        <v>0</v>
      </c>
    </row>
    <row r="719" spans="1:11">
      <c r="A719">
        <f>IF(COUNTBLANK(B719:K719)&lt;&gt;COLUMNS(B719:K719),718,"")</f>
        <v>0</v>
      </c>
      <c r="C719" s="2">
        <f>IF(B719="", "", "missing: not provided")</f>
        <v>0</v>
      </c>
      <c r="D719" s="1">
        <f>IF(B719="", "", "weeks")</f>
        <v>0</v>
      </c>
      <c r="E719" s="1">
        <f>IF(B719="", "", "urban biome")</f>
        <v>0</v>
      </c>
      <c r="F719" s="1">
        <f>IF(B719="", "", "animal-associated habitat")</f>
        <v>0</v>
      </c>
      <c r="G719" s="1">
        <f>IF(B719="", "", "mouse")</f>
        <v>0</v>
      </c>
      <c r="H719" s="1">
        <f>IF(B719="", "", "Mus musculus")</f>
        <v>0</v>
      </c>
      <c r="I719" s="1">
        <f>IF(B719="", "", "10090")</f>
        <v>0</v>
      </c>
      <c r="J719" s="2">
        <f>IF(B719="", "", "missing: not provided")</f>
        <v>0</v>
      </c>
      <c r="K719" s="1">
        <f>IF(B719="", "", "g")</f>
        <v>0</v>
      </c>
    </row>
    <row r="720" spans="1:11">
      <c r="A720">
        <f>IF(COUNTBLANK(B720:K720)&lt;&gt;COLUMNS(B720:K720),719,"")</f>
        <v>0</v>
      </c>
      <c r="C720" s="2">
        <f>IF(B720="", "", "missing: not provided")</f>
        <v>0</v>
      </c>
      <c r="D720" s="1">
        <f>IF(B720="", "", "weeks")</f>
        <v>0</v>
      </c>
      <c r="E720" s="1">
        <f>IF(B720="", "", "urban biome")</f>
        <v>0</v>
      </c>
      <c r="F720" s="1">
        <f>IF(B720="", "", "animal-associated habitat")</f>
        <v>0</v>
      </c>
      <c r="G720" s="1">
        <f>IF(B720="", "", "mouse")</f>
        <v>0</v>
      </c>
      <c r="H720" s="1">
        <f>IF(B720="", "", "Mus musculus")</f>
        <v>0</v>
      </c>
      <c r="I720" s="1">
        <f>IF(B720="", "", "10090")</f>
        <v>0</v>
      </c>
      <c r="J720" s="2">
        <f>IF(B720="", "", "missing: not provided")</f>
        <v>0</v>
      </c>
      <c r="K720" s="1">
        <f>IF(B720="", "", "g")</f>
        <v>0</v>
      </c>
    </row>
    <row r="721" spans="1:11">
      <c r="A721">
        <f>IF(COUNTBLANK(B721:K721)&lt;&gt;COLUMNS(B721:K721),720,"")</f>
        <v>0</v>
      </c>
      <c r="C721" s="2">
        <f>IF(B721="", "", "missing: not provided")</f>
        <v>0</v>
      </c>
      <c r="D721" s="1">
        <f>IF(B721="", "", "weeks")</f>
        <v>0</v>
      </c>
      <c r="E721" s="1">
        <f>IF(B721="", "", "urban biome")</f>
        <v>0</v>
      </c>
      <c r="F721" s="1">
        <f>IF(B721="", "", "animal-associated habitat")</f>
        <v>0</v>
      </c>
      <c r="G721" s="1">
        <f>IF(B721="", "", "mouse")</f>
        <v>0</v>
      </c>
      <c r="H721" s="1">
        <f>IF(B721="", "", "Mus musculus")</f>
        <v>0</v>
      </c>
      <c r="I721" s="1">
        <f>IF(B721="", "", "10090")</f>
        <v>0</v>
      </c>
      <c r="J721" s="2">
        <f>IF(B721="", "", "missing: not provided")</f>
        <v>0</v>
      </c>
      <c r="K721" s="1">
        <f>IF(B721="", "", "g")</f>
        <v>0</v>
      </c>
    </row>
    <row r="722" spans="1:11">
      <c r="A722">
        <f>IF(COUNTBLANK(B722:K722)&lt;&gt;COLUMNS(B722:K722),721,"")</f>
        <v>0</v>
      </c>
      <c r="C722" s="2">
        <f>IF(B722="", "", "missing: not provided")</f>
        <v>0</v>
      </c>
      <c r="D722" s="1">
        <f>IF(B722="", "", "weeks")</f>
        <v>0</v>
      </c>
      <c r="E722" s="1">
        <f>IF(B722="", "", "urban biome")</f>
        <v>0</v>
      </c>
      <c r="F722" s="1">
        <f>IF(B722="", "", "animal-associated habitat")</f>
        <v>0</v>
      </c>
      <c r="G722" s="1">
        <f>IF(B722="", "", "mouse")</f>
        <v>0</v>
      </c>
      <c r="H722" s="1">
        <f>IF(B722="", "", "Mus musculus")</f>
        <v>0</v>
      </c>
      <c r="I722" s="1">
        <f>IF(B722="", "", "10090")</f>
        <v>0</v>
      </c>
      <c r="J722" s="2">
        <f>IF(B722="", "", "missing: not provided")</f>
        <v>0</v>
      </c>
      <c r="K722" s="1">
        <f>IF(B722="", "", "g")</f>
        <v>0</v>
      </c>
    </row>
    <row r="723" spans="1:11">
      <c r="A723">
        <f>IF(COUNTBLANK(B723:K723)&lt;&gt;COLUMNS(B723:K723),722,"")</f>
        <v>0</v>
      </c>
      <c r="C723" s="2">
        <f>IF(B723="", "", "missing: not provided")</f>
        <v>0</v>
      </c>
      <c r="D723" s="1">
        <f>IF(B723="", "", "weeks")</f>
        <v>0</v>
      </c>
      <c r="E723" s="1">
        <f>IF(B723="", "", "urban biome")</f>
        <v>0</v>
      </c>
      <c r="F723" s="1">
        <f>IF(B723="", "", "animal-associated habitat")</f>
        <v>0</v>
      </c>
      <c r="G723" s="1">
        <f>IF(B723="", "", "mouse")</f>
        <v>0</v>
      </c>
      <c r="H723" s="1">
        <f>IF(B723="", "", "Mus musculus")</f>
        <v>0</v>
      </c>
      <c r="I723" s="1">
        <f>IF(B723="", "", "10090")</f>
        <v>0</v>
      </c>
      <c r="J723" s="2">
        <f>IF(B723="", "", "missing: not provided")</f>
        <v>0</v>
      </c>
      <c r="K723" s="1">
        <f>IF(B723="", "", "g")</f>
        <v>0</v>
      </c>
    </row>
    <row r="724" spans="1:11">
      <c r="A724">
        <f>IF(COUNTBLANK(B724:K724)&lt;&gt;COLUMNS(B724:K724),723,"")</f>
        <v>0</v>
      </c>
      <c r="C724" s="2">
        <f>IF(B724="", "", "missing: not provided")</f>
        <v>0</v>
      </c>
      <c r="D724" s="1">
        <f>IF(B724="", "", "weeks")</f>
        <v>0</v>
      </c>
      <c r="E724" s="1">
        <f>IF(B724="", "", "urban biome")</f>
        <v>0</v>
      </c>
      <c r="F724" s="1">
        <f>IF(B724="", "", "animal-associated habitat")</f>
        <v>0</v>
      </c>
      <c r="G724" s="1">
        <f>IF(B724="", "", "mouse")</f>
        <v>0</v>
      </c>
      <c r="H724" s="1">
        <f>IF(B724="", "", "Mus musculus")</f>
        <v>0</v>
      </c>
      <c r="I724" s="1">
        <f>IF(B724="", "", "10090")</f>
        <v>0</v>
      </c>
      <c r="J724" s="2">
        <f>IF(B724="", "", "missing: not provided")</f>
        <v>0</v>
      </c>
      <c r="K724" s="1">
        <f>IF(B724="", "", "g")</f>
        <v>0</v>
      </c>
    </row>
    <row r="725" spans="1:11">
      <c r="A725">
        <f>IF(COUNTBLANK(B725:K725)&lt;&gt;COLUMNS(B725:K725),724,"")</f>
        <v>0</v>
      </c>
      <c r="C725" s="2">
        <f>IF(B725="", "", "missing: not provided")</f>
        <v>0</v>
      </c>
      <c r="D725" s="1">
        <f>IF(B725="", "", "weeks")</f>
        <v>0</v>
      </c>
      <c r="E725" s="1">
        <f>IF(B725="", "", "urban biome")</f>
        <v>0</v>
      </c>
      <c r="F725" s="1">
        <f>IF(B725="", "", "animal-associated habitat")</f>
        <v>0</v>
      </c>
      <c r="G725" s="1">
        <f>IF(B725="", "", "mouse")</f>
        <v>0</v>
      </c>
      <c r="H725" s="1">
        <f>IF(B725="", "", "Mus musculus")</f>
        <v>0</v>
      </c>
      <c r="I725" s="1">
        <f>IF(B725="", "", "10090")</f>
        <v>0</v>
      </c>
      <c r="J725" s="2">
        <f>IF(B725="", "", "missing: not provided")</f>
        <v>0</v>
      </c>
      <c r="K725" s="1">
        <f>IF(B725="", "", "g")</f>
        <v>0</v>
      </c>
    </row>
    <row r="726" spans="1:11">
      <c r="A726">
        <f>IF(COUNTBLANK(B726:K726)&lt;&gt;COLUMNS(B726:K726),725,"")</f>
        <v>0</v>
      </c>
      <c r="C726" s="2">
        <f>IF(B726="", "", "missing: not provided")</f>
        <v>0</v>
      </c>
      <c r="D726" s="1">
        <f>IF(B726="", "", "weeks")</f>
        <v>0</v>
      </c>
      <c r="E726" s="1">
        <f>IF(B726="", "", "urban biome")</f>
        <v>0</v>
      </c>
      <c r="F726" s="1">
        <f>IF(B726="", "", "animal-associated habitat")</f>
        <v>0</v>
      </c>
      <c r="G726" s="1">
        <f>IF(B726="", "", "mouse")</f>
        <v>0</v>
      </c>
      <c r="H726" s="1">
        <f>IF(B726="", "", "Mus musculus")</f>
        <v>0</v>
      </c>
      <c r="I726" s="1">
        <f>IF(B726="", "", "10090")</f>
        <v>0</v>
      </c>
      <c r="J726" s="2">
        <f>IF(B726="", "", "missing: not provided")</f>
        <v>0</v>
      </c>
      <c r="K726" s="1">
        <f>IF(B726="", "", "g")</f>
        <v>0</v>
      </c>
    </row>
    <row r="727" spans="1:11">
      <c r="A727">
        <f>IF(COUNTBLANK(B727:K727)&lt;&gt;COLUMNS(B727:K727),726,"")</f>
        <v>0</v>
      </c>
      <c r="C727" s="2">
        <f>IF(B727="", "", "missing: not provided")</f>
        <v>0</v>
      </c>
      <c r="D727" s="1">
        <f>IF(B727="", "", "weeks")</f>
        <v>0</v>
      </c>
      <c r="E727" s="1">
        <f>IF(B727="", "", "urban biome")</f>
        <v>0</v>
      </c>
      <c r="F727" s="1">
        <f>IF(B727="", "", "animal-associated habitat")</f>
        <v>0</v>
      </c>
      <c r="G727" s="1">
        <f>IF(B727="", "", "mouse")</f>
        <v>0</v>
      </c>
      <c r="H727" s="1">
        <f>IF(B727="", "", "Mus musculus")</f>
        <v>0</v>
      </c>
      <c r="I727" s="1">
        <f>IF(B727="", "", "10090")</f>
        <v>0</v>
      </c>
      <c r="J727" s="2">
        <f>IF(B727="", "", "missing: not provided")</f>
        <v>0</v>
      </c>
      <c r="K727" s="1">
        <f>IF(B727="", "", "g")</f>
        <v>0</v>
      </c>
    </row>
    <row r="728" spans="1:11">
      <c r="A728">
        <f>IF(COUNTBLANK(B728:K728)&lt;&gt;COLUMNS(B728:K728),727,"")</f>
        <v>0</v>
      </c>
      <c r="C728" s="2">
        <f>IF(B728="", "", "missing: not provided")</f>
        <v>0</v>
      </c>
      <c r="D728" s="1">
        <f>IF(B728="", "", "weeks")</f>
        <v>0</v>
      </c>
      <c r="E728" s="1">
        <f>IF(B728="", "", "urban biome")</f>
        <v>0</v>
      </c>
      <c r="F728" s="1">
        <f>IF(B728="", "", "animal-associated habitat")</f>
        <v>0</v>
      </c>
      <c r="G728" s="1">
        <f>IF(B728="", "", "mouse")</f>
        <v>0</v>
      </c>
      <c r="H728" s="1">
        <f>IF(B728="", "", "Mus musculus")</f>
        <v>0</v>
      </c>
      <c r="I728" s="1">
        <f>IF(B728="", "", "10090")</f>
        <v>0</v>
      </c>
      <c r="J728" s="2">
        <f>IF(B728="", "", "missing: not provided")</f>
        <v>0</v>
      </c>
      <c r="K728" s="1">
        <f>IF(B728="", "", "g")</f>
        <v>0</v>
      </c>
    </row>
    <row r="729" spans="1:11">
      <c r="A729">
        <f>IF(COUNTBLANK(B729:K729)&lt;&gt;COLUMNS(B729:K729),728,"")</f>
        <v>0</v>
      </c>
      <c r="C729" s="2">
        <f>IF(B729="", "", "missing: not provided")</f>
        <v>0</v>
      </c>
      <c r="D729" s="1">
        <f>IF(B729="", "", "weeks")</f>
        <v>0</v>
      </c>
      <c r="E729" s="1">
        <f>IF(B729="", "", "urban biome")</f>
        <v>0</v>
      </c>
      <c r="F729" s="1">
        <f>IF(B729="", "", "animal-associated habitat")</f>
        <v>0</v>
      </c>
      <c r="G729" s="1">
        <f>IF(B729="", "", "mouse")</f>
        <v>0</v>
      </c>
      <c r="H729" s="1">
        <f>IF(B729="", "", "Mus musculus")</f>
        <v>0</v>
      </c>
      <c r="I729" s="1">
        <f>IF(B729="", "", "10090")</f>
        <v>0</v>
      </c>
      <c r="J729" s="2">
        <f>IF(B729="", "", "missing: not provided")</f>
        <v>0</v>
      </c>
      <c r="K729" s="1">
        <f>IF(B729="", "", "g")</f>
        <v>0</v>
      </c>
    </row>
    <row r="730" spans="1:11">
      <c r="A730">
        <f>IF(COUNTBLANK(B730:K730)&lt;&gt;COLUMNS(B730:K730),729,"")</f>
        <v>0</v>
      </c>
      <c r="C730" s="2">
        <f>IF(B730="", "", "missing: not provided")</f>
        <v>0</v>
      </c>
      <c r="D730" s="1">
        <f>IF(B730="", "", "weeks")</f>
        <v>0</v>
      </c>
      <c r="E730" s="1">
        <f>IF(B730="", "", "urban biome")</f>
        <v>0</v>
      </c>
      <c r="F730" s="1">
        <f>IF(B730="", "", "animal-associated habitat")</f>
        <v>0</v>
      </c>
      <c r="G730" s="1">
        <f>IF(B730="", "", "mouse")</f>
        <v>0</v>
      </c>
      <c r="H730" s="1">
        <f>IF(B730="", "", "Mus musculus")</f>
        <v>0</v>
      </c>
      <c r="I730" s="1">
        <f>IF(B730="", "", "10090")</f>
        <v>0</v>
      </c>
      <c r="J730" s="2">
        <f>IF(B730="", "", "missing: not provided")</f>
        <v>0</v>
      </c>
      <c r="K730" s="1">
        <f>IF(B730="", "", "g")</f>
        <v>0</v>
      </c>
    </row>
    <row r="731" spans="1:11">
      <c r="A731">
        <f>IF(COUNTBLANK(B731:K731)&lt;&gt;COLUMNS(B731:K731),730,"")</f>
        <v>0</v>
      </c>
      <c r="C731" s="2">
        <f>IF(B731="", "", "missing: not provided")</f>
        <v>0</v>
      </c>
      <c r="D731" s="1">
        <f>IF(B731="", "", "weeks")</f>
        <v>0</v>
      </c>
      <c r="E731" s="1">
        <f>IF(B731="", "", "urban biome")</f>
        <v>0</v>
      </c>
      <c r="F731" s="1">
        <f>IF(B731="", "", "animal-associated habitat")</f>
        <v>0</v>
      </c>
      <c r="G731" s="1">
        <f>IF(B731="", "", "mouse")</f>
        <v>0</v>
      </c>
      <c r="H731" s="1">
        <f>IF(B731="", "", "Mus musculus")</f>
        <v>0</v>
      </c>
      <c r="I731" s="1">
        <f>IF(B731="", "", "10090")</f>
        <v>0</v>
      </c>
      <c r="J731" s="2">
        <f>IF(B731="", "", "missing: not provided")</f>
        <v>0</v>
      </c>
      <c r="K731" s="1">
        <f>IF(B731="", "", "g")</f>
        <v>0</v>
      </c>
    </row>
    <row r="732" spans="1:11">
      <c r="A732">
        <f>IF(COUNTBLANK(B732:K732)&lt;&gt;COLUMNS(B732:K732),731,"")</f>
        <v>0</v>
      </c>
      <c r="C732" s="2">
        <f>IF(B732="", "", "missing: not provided")</f>
        <v>0</v>
      </c>
      <c r="D732" s="1">
        <f>IF(B732="", "", "weeks")</f>
        <v>0</v>
      </c>
      <c r="E732" s="1">
        <f>IF(B732="", "", "urban biome")</f>
        <v>0</v>
      </c>
      <c r="F732" s="1">
        <f>IF(B732="", "", "animal-associated habitat")</f>
        <v>0</v>
      </c>
      <c r="G732" s="1">
        <f>IF(B732="", "", "mouse")</f>
        <v>0</v>
      </c>
      <c r="H732" s="1">
        <f>IF(B732="", "", "Mus musculus")</f>
        <v>0</v>
      </c>
      <c r="I732" s="1">
        <f>IF(B732="", "", "10090")</f>
        <v>0</v>
      </c>
      <c r="J732" s="2">
        <f>IF(B732="", "", "missing: not provided")</f>
        <v>0</v>
      </c>
      <c r="K732" s="1">
        <f>IF(B732="", "", "g")</f>
        <v>0</v>
      </c>
    </row>
    <row r="733" spans="1:11">
      <c r="A733">
        <f>IF(COUNTBLANK(B733:K733)&lt;&gt;COLUMNS(B733:K733),732,"")</f>
        <v>0</v>
      </c>
      <c r="C733" s="2">
        <f>IF(B733="", "", "missing: not provided")</f>
        <v>0</v>
      </c>
      <c r="D733" s="1">
        <f>IF(B733="", "", "weeks")</f>
        <v>0</v>
      </c>
      <c r="E733" s="1">
        <f>IF(B733="", "", "urban biome")</f>
        <v>0</v>
      </c>
      <c r="F733" s="1">
        <f>IF(B733="", "", "animal-associated habitat")</f>
        <v>0</v>
      </c>
      <c r="G733" s="1">
        <f>IF(B733="", "", "mouse")</f>
        <v>0</v>
      </c>
      <c r="H733" s="1">
        <f>IF(B733="", "", "Mus musculus")</f>
        <v>0</v>
      </c>
      <c r="I733" s="1">
        <f>IF(B733="", "", "10090")</f>
        <v>0</v>
      </c>
      <c r="J733" s="2">
        <f>IF(B733="", "", "missing: not provided")</f>
        <v>0</v>
      </c>
      <c r="K733" s="1">
        <f>IF(B733="", "", "g")</f>
        <v>0</v>
      </c>
    </row>
    <row r="734" spans="1:11">
      <c r="A734">
        <f>IF(COUNTBLANK(B734:K734)&lt;&gt;COLUMNS(B734:K734),733,"")</f>
        <v>0</v>
      </c>
      <c r="C734" s="2">
        <f>IF(B734="", "", "missing: not provided")</f>
        <v>0</v>
      </c>
      <c r="D734" s="1">
        <f>IF(B734="", "", "weeks")</f>
        <v>0</v>
      </c>
      <c r="E734" s="1">
        <f>IF(B734="", "", "urban biome")</f>
        <v>0</v>
      </c>
      <c r="F734" s="1">
        <f>IF(B734="", "", "animal-associated habitat")</f>
        <v>0</v>
      </c>
      <c r="G734" s="1">
        <f>IF(B734="", "", "mouse")</f>
        <v>0</v>
      </c>
      <c r="H734" s="1">
        <f>IF(B734="", "", "Mus musculus")</f>
        <v>0</v>
      </c>
      <c r="I734" s="1">
        <f>IF(B734="", "", "10090")</f>
        <v>0</v>
      </c>
      <c r="J734" s="2">
        <f>IF(B734="", "", "missing: not provided")</f>
        <v>0</v>
      </c>
      <c r="K734" s="1">
        <f>IF(B734="", "", "g")</f>
        <v>0</v>
      </c>
    </row>
    <row r="735" spans="1:11">
      <c r="A735">
        <f>IF(COUNTBLANK(B735:K735)&lt;&gt;COLUMNS(B735:K735),734,"")</f>
        <v>0</v>
      </c>
      <c r="C735" s="2">
        <f>IF(B735="", "", "missing: not provided")</f>
        <v>0</v>
      </c>
      <c r="D735" s="1">
        <f>IF(B735="", "", "weeks")</f>
        <v>0</v>
      </c>
      <c r="E735" s="1">
        <f>IF(B735="", "", "urban biome")</f>
        <v>0</v>
      </c>
      <c r="F735" s="1">
        <f>IF(B735="", "", "animal-associated habitat")</f>
        <v>0</v>
      </c>
      <c r="G735" s="1">
        <f>IF(B735="", "", "mouse")</f>
        <v>0</v>
      </c>
      <c r="H735" s="1">
        <f>IF(B735="", "", "Mus musculus")</f>
        <v>0</v>
      </c>
      <c r="I735" s="1">
        <f>IF(B735="", "", "10090")</f>
        <v>0</v>
      </c>
      <c r="J735" s="2">
        <f>IF(B735="", "", "missing: not provided")</f>
        <v>0</v>
      </c>
      <c r="K735" s="1">
        <f>IF(B735="", "", "g")</f>
        <v>0</v>
      </c>
    </row>
    <row r="736" spans="1:11">
      <c r="A736">
        <f>IF(COUNTBLANK(B736:K736)&lt;&gt;COLUMNS(B736:K736),735,"")</f>
        <v>0</v>
      </c>
      <c r="C736" s="2">
        <f>IF(B736="", "", "missing: not provided")</f>
        <v>0</v>
      </c>
      <c r="D736" s="1">
        <f>IF(B736="", "", "weeks")</f>
        <v>0</v>
      </c>
      <c r="E736" s="1">
        <f>IF(B736="", "", "urban biome")</f>
        <v>0</v>
      </c>
      <c r="F736" s="1">
        <f>IF(B736="", "", "animal-associated habitat")</f>
        <v>0</v>
      </c>
      <c r="G736" s="1">
        <f>IF(B736="", "", "mouse")</f>
        <v>0</v>
      </c>
      <c r="H736" s="1">
        <f>IF(B736="", "", "Mus musculus")</f>
        <v>0</v>
      </c>
      <c r="I736" s="1">
        <f>IF(B736="", "", "10090")</f>
        <v>0</v>
      </c>
      <c r="J736" s="2">
        <f>IF(B736="", "", "missing: not provided")</f>
        <v>0</v>
      </c>
      <c r="K736" s="1">
        <f>IF(B736="", "", "g")</f>
        <v>0</v>
      </c>
    </row>
    <row r="737" spans="1:11">
      <c r="A737">
        <f>IF(COUNTBLANK(B737:K737)&lt;&gt;COLUMNS(B737:K737),736,"")</f>
        <v>0</v>
      </c>
      <c r="C737" s="2">
        <f>IF(B737="", "", "missing: not provided")</f>
        <v>0</v>
      </c>
      <c r="D737" s="1">
        <f>IF(B737="", "", "weeks")</f>
        <v>0</v>
      </c>
      <c r="E737" s="1">
        <f>IF(B737="", "", "urban biome")</f>
        <v>0</v>
      </c>
      <c r="F737" s="1">
        <f>IF(B737="", "", "animal-associated habitat")</f>
        <v>0</v>
      </c>
      <c r="G737" s="1">
        <f>IF(B737="", "", "mouse")</f>
        <v>0</v>
      </c>
      <c r="H737" s="1">
        <f>IF(B737="", "", "Mus musculus")</f>
        <v>0</v>
      </c>
      <c r="I737" s="1">
        <f>IF(B737="", "", "10090")</f>
        <v>0</v>
      </c>
      <c r="J737" s="2">
        <f>IF(B737="", "", "missing: not provided")</f>
        <v>0</v>
      </c>
      <c r="K737" s="1">
        <f>IF(B737="", "", "g")</f>
        <v>0</v>
      </c>
    </row>
    <row r="738" spans="1:11">
      <c r="A738">
        <f>IF(COUNTBLANK(B738:K738)&lt;&gt;COLUMNS(B738:K738),737,"")</f>
        <v>0</v>
      </c>
      <c r="C738" s="2">
        <f>IF(B738="", "", "missing: not provided")</f>
        <v>0</v>
      </c>
      <c r="D738" s="1">
        <f>IF(B738="", "", "weeks")</f>
        <v>0</v>
      </c>
      <c r="E738" s="1">
        <f>IF(B738="", "", "urban biome")</f>
        <v>0</v>
      </c>
      <c r="F738" s="1">
        <f>IF(B738="", "", "animal-associated habitat")</f>
        <v>0</v>
      </c>
      <c r="G738" s="1">
        <f>IF(B738="", "", "mouse")</f>
        <v>0</v>
      </c>
      <c r="H738" s="1">
        <f>IF(B738="", "", "Mus musculus")</f>
        <v>0</v>
      </c>
      <c r="I738" s="1">
        <f>IF(B738="", "", "10090")</f>
        <v>0</v>
      </c>
      <c r="J738" s="2">
        <f>IF(B738="", "", "missing: not provided")</f>
        <v>0</v>
      </c>
      <c r="K738" s="1">
        <f>IF(B738="", "", "g")</f>
        <v>0</v>
      </c>
    </row>
    <row r="739" spans="1:11">
      <c r="A739">
        <f>IF(COUNTBLANK(B739:K739)&lt;&gt;COLUMNS(B739:K739),738,"")</f>
        <v>0</v>
      </c>
      <c r="C739" s="2">
        <f>IF(B739="", "", "missing: not provided")</f>
        <v>0</v>
      </c>
      <c r="D739" s="1">
        <f>IF(B739="", "", "weeks")</f>
        <v>0</v>
      </c>
      <c r="E739" s="1">
        <f>IF(B739="", "", "urban biome")</f>
        <v>0</v>
      </c>
      <c r="F739" s="1">
        <f>IF(B739="", "", "animal-associated habitat")</f>
        <v>0</v>
      </c>
      <c r="G739" s="1">
        <f>IF(B739="", "", "mouse")</f>
        <v>0</v>
      </c>
      <c r="H739" s="1">
        <f>IF(B739="", "", "Mus musculus")</f>
        <v>0</v>
      </c>
      <c r="I739" s="1">
        <f>IF(B739="", "", "10090")</f>
        <v>0</v>
      </c>
      <c r="J739" s="2">
        <f>IF(B739="", "", "missing: not provided")</f>
        <v>0</v>
      </c>
      <c r="K739" s="1">
        <f>IF(B739="", "", "g")</f>
        <v>0</v>
      </c>
    </row>
    <row r="740" spans="1:11">
      <c r="A740">
        <f>IF(COUNTBLANK(B740:K740)&lt;&gt;COLUMNS(B740:K740),739,"")</f>
        <v>0</v>
      </c>
      <c r="C740" s="2">
        <f>IF(B740="", "", "missing: not provided")</f>
        <v>0</v>
      </c>
      <c r="D740" s="1">
        <f>IF(B740="", "", "weeks")</f>
        <v>0</v>
      </c>
      <c r="E740" s="1">
        <f>IF(B740="", "", "urban biome")</f>
        <v>0</v>
      </c>
      <c r="F740" s="1">
        <f>IF(B740="", "", "animal-associated habitat")</f>
        <v>0</v>
      </c>
      <c r="G740" s="1">
        <f>IF(B740="", "", "mouse")</f>
        <v>0</v>
      </c>
      <c r="H740" s="1">
        <f>IF(B740="", "", "Mus musculus")</f>
        <v>0</v>
      </c>
      <c r="I740" s="1">
        <f>IF(B740="", "", "10090")</f>
        <v>0</v>
      </c>
      <c r="J740" s="2">
        <f>IF(B740="", "", "missing: not provided")</f>
        <v>0</v>
      </c>
      <c r="K740" s="1">
        <f>IF(B740="", "", "g")</f>
        <v>0</v>
      </c>
    </row>
    <row r="741" spans="1:11">
      <c r="A741">
        <f>IF(COUNTBLANK(B741:K741)&lt;&gt;COLUMNS(B741:K741),740,"")</f>
        <v>0</v>
      </c>
      <c r="C741" s="2">
        <f>IF(B741="", "", "missing: not provided")</f>
        <v>0</v>
      </c>
      <c r="D741" s="1">
        <f>IF(B741="", "", "weeks")</f>
        <v>0</v>
      </c>
      <c r="E741" s="1">
        <f>IF(B741="", "", "urban biome")</f>
        <v>0</v>
      </c>
      <c r="F741" s="1">
        <f>IF(B741="", "", "animal-associated habitat")</f>
        <v>0</v>
      </c>
      <c r="G741" s="1">
        <f>IF(B741="", "", "mouse")</f>
        <v>0</v>
      </c>
      <c r="H741" s="1">
        <f>IF(B741="", "", "Mus musculus")</f>
        <v>0</v>
      </c>
      <c r="I741" s="1">
        <f>IF(B741="", "", "10090")</f>
        <v>0</v>
      </c>
      <c r="J741" s="2">
        <f>IF(B741="", "", "missing: not provided")</f>
        <v>0</v>
      </c>
      <c r="K741" s="1">
        <f>IF(B741="", "", "g")</f>
        <v>0</v>
      </c>
    </row>
    <row r="742" spans="1:11">
      <c r="A742">
        <f>IF(COUNTBLANK(B742:K742)&lt;&gt;COLUMNS(B742:K742),741,"")</f>
        <v>0</v>
      </c>
      <c r="C742" s="2">
        <f>IF(B742="", "", "missing: not provided")</f>
        <v>0</v>
      </c>
      <c r="D742" s="1">
        <f>IF(B742="", "", "weeks")</f>
        <v>0</v>
      </c>
      <c r="E742" s="1">
        <f>IF(B742="", "", "urban biome")</f>
        <v>0</v>
      </c>
      <c r="F742" s="1">
        <f>IF(B742="", "", "animal-associated habitat")</f>
        <v>0</v>
      </c>
      <c r="G742" s="1">
        <f>IF(B742="", "", "mouse")</f>
        <v>0</v>
      </c>
      <c r="H742" s="1">
        <f>IF(B742="", "", "Mus musculus")</f>
        <v>0</v>
      </c>
      <c r="I742" s="1">
        <f>IF(B742="", "", "10090")</f>
        <v>0</v>
      </c>
      <c r="J742" s="2">
        <f>IF(B742="", "", "missing: not provided")</f>
        <v>0</v>
      </c>
      <c r="K742" s="1">
        <f>IF(B742="", "", "g")</f>
        <v>0</v>
      </c>
    </row>
    <row r="743" spans="1:11">
      <c r="A743">
        <f>IF(COUNTBLANK(B743:K743)&lt;&gt;COLUMNS(B743:K743),742,"")</f>
        <v>0</v>
      </c>
      <c r="C743" s="2">
        <f>IF(B743="", "", "missing: not provided")</f>
        <v>0</v>
      </c>
      <c r="D743" s="1">
        <f>IF(B743="", "", "weeks")</f>
        <v>0</v>
      </c>
      <c r="E743" s="1">
        <f>IF(B743="", "", "urban biome")</f>
        <v>0</v>
      </c>
      <c r="F743" s="1">
        <f>IF(B743="", "", "animal-associated habitat")</f>
        <v>0</v>
      </c>
      <c r="G743" s="1">
        <f>IF(B743="", "", "mouse")</f>
        <v>0</v>
      </c>
      <c r="H743" s="1">
        <f>IF(B743="", "", "Mus musculus")</f>
        <v>0</v>
      </c>
      <c r="I743" s="1">
        <f>IF(B743="", "", "10090")</f>
        <v>0</v>
      </c>
      <c r="J743" s="2">
        <f>IF(B743="", "", "missing: not provided")</f>
        <v>0</v>
      </c>
      <c r="K743" s="1">
        <f>IF(B743="", "", "g")</f>
        <v>0</v>
      </c>
    </row>
    <row r="744" spans="1:11">
      <c r="A744">
        <f>IF(COUNTBLANK(B744:K744)&lt;&gt;COLUMNS(B744:K744),743,"")</f>
        <v>0</v>
      </c>
      <c r="C744" s="2">
        <f>IF(B744="", "", "missing: not provided")</f>
        <v>0</v>
      </c>
      <c r="D744" s="1">
        <f>IF(B744="", "", "weeks")</f>
        <v>0</v>
      </c>
      <c r="E744" s="1">
        <f>IF(B744="", "", "urban biome")</f>
        <v>0</v>
      </c>
      <c r="F744" s="1">
        <f>IF(B744="", "", "animal-associated habitat")</f>
        <v>0</v>
      </c>
      <c r="G744" s="1">
        <f>IF(B744="", "", "mouse")</f>
        <v>0</v>
      </c>
      <c r="H744" s="1">
        <f>IF(B744="", "", "Mus musculus")</f>
        <v>0</v>
      </c>
      <c r="I744" s="1">
        <f>IF(B744="", "", "10090")</f>
        <v>0</v>
      </c>
      <c r="J744" s="2">
        <f>IF(B744="", "", "missing: not provided")</f>
        <v>0</v>
      </c>
      <c r="K744" s="1">
        <f>IF(B744="", "", "g")</f>
        <v>0</v>
      </c>
    </row>
    <row r="745" spans="1:11">
      <c r="A745">
        <f>IF(COUNTBLANK(B745:K745)&lt;&gt;COLUMNS(B745:K745),744,"")</f>
        <v>0</v>
      </c>
      <c r="C745" s="2">
        <f>IF(B745="", "", "missing: not provided")</f>
        <v>0</v>
      </c>
      <c r="D745" s="1">
        <f>IF(B745="", "", "weeks")</f>
        <v>0</v>
      </c>
      <c r="E745" s="1">
        <f>IF(B745="", "", "urban biome")</f>
        <v>0</v>
      </c>
      <c r="F745" s="1">
        <f>IF(B745="", "", "animal-associated habitat")</f>
        <v>0</v>
      </c>
      <c r="G745" s="1">
        <f>IF(B745="", "", "mouse")</f>
        <v>0</v>
      </c>
      <c r="H745" s="1">
        <f>IF(B745="", "", "Mus musculus")</f>
        <v>0</v>
      </c>
      <c r="I745" s="1">
        <f>IF(B745="", "", "10090")</f>
        <v>0</v>
      </c>
      <c r="J745" s="2">
        <f>IF(B745="", "", "missing: not provided")</f>
        <v>0</v>
      </c>
      <c r="K745" s="1">
        <f>IF(B745="", "", "g")</f>
        <v>0</v>
      </c>
    </row>
    <row r="746" spans="1:11">
      <c r="A746">
        <f>IF(COUNTBLANK(B746:K746)&lt;&gt;COLUMNS(B746:K746),745,"")</f>
        <v>0</v>
      </c>
      <c r="C746" s="2">
        <f>IF(B746="", "", "missing: not provided")</f>
        <v>0</v>
      </c>
      <c r="D746" s="1">
        <f>IF(B746="", "", "weeks")</f>
        <v>0</v>
      </c>
      <c r="E746" s="1">
        <f>IF(B746="", "", "urban biome")</f>
        <v>0</v>
      </c>
      <c r="F746" s="1">
        <f>IF(B746="", "", "animal-associated habitat")</f>
        <v>0</v>
      </c>
      <c r="G746" s="1">
        <f>IF(B746="", "", "mouse")</f>
        <v>0</v>
      </c>
      <c r="H746" s="1">
        <f>IF(B746="", "", "Mus musculus")</f>
        <v>0</v>
      </c>
      <c r="I746" s="1">
        <f>IF(B746="", "", "10090")</f>
        <v>0</v>
      </c>
      <c r="J746" s="2">
        <f>IF(B746="", "", "missing: not provided")</f>
        <v>0</v>
      </c>
      <c r="K746" s="1">
        <f>IF(B746="", "", "g")</f>
        <v>0</v>
      </c>
    </row>
    <row r="747" spans="1:11">
      <c r="A747">
        <f>IF(COUNTBLANK(B747:K747)&lt;&gt;COLUMNS(B747:K747),746,"")</f>
        <v>0</v>
      </c>
      <c r="C747" s="2">
        <f>IF(B747="", "", "missing: not provided")</f>
        <v>0</v>
      </c>
      <c r="D747" s="1">
        <f>IF(B747="", "", "weeks")</f>
        <v>0</v>
      </c>
      <c r="E747" s="1">
        <f>IF(B747="", "", "urban biome")</f>
        <v>0</v>
      </c>
      <c r="F747" s="1">
        <f>IF(B747="", "", "animal-associated habitat")</f>
        <v>0</v>
      </c>
      <c r="G747" s="1">
        <f>IF(B747="", "", "mouse")</f>
        <v>0</v>
      </c>
      <c r="H747" s="1">
        <f>IF(B747="", "", "Mus musculus")</f>
        <v>0</v>
      </c>
      <c r="I747" s="1">
        <f>IF(B747="", "", "10090")</f>
        <v>0</v>
      </c>
      <c r="J747" s="2">
        <f>IF(B747="", "", "missing: not provided")</f>
        <v>0</v>
      </c>
      <c r="K747" s="1">
        <f>IF(B747="", "", "g")</f>
        <v>0</v>
      </c>
    </row>
    <row r="748" spans="1:11">
      <c r="A748">
        <f>IF(COUNTBLANK(B748:K748)&lt;&gt;COLUMNS(B748:K748),747,"")</f>
        <v>0</v>
      </c>
      <c r="C748" s="2">
        <f>IF(B748="", "", "missing: not provided")</f>
        <v>0</v>
      </c>
      <c r="D748" s="1">
        <f>IF(B748="", "", "weeks")</f>
        <v>0</v>
      </c>
      <c r="E748" s="1">
        <f>IF(B748="", "", "urban biome")</f>
        <v>0</v>
      </c>
      <c r="F748" s="1">
        <f>IF(B748="", "", "animal-associated habitat")</f>
        <v>0</v>
      </c>
      <c r="G748" s="1">
        <f>IF(B748="", "", "mouse")</f>
        <v>0</v>
      </c>
      <c r="H748" s="1">
        <f>IF(B748="", "", "Mus musculus")</f>
        <v>0</v>
      </c>
      <c r="I748" s="1">
        <f>IF(B748="", "", "10090")</f>
        <v>0</v>
      </c>
      <c r="J748" s="2">
        <f>IF(B748="", "", "missing: not provided")</f>
        <v>0</v>
      </c>
      <c r="K748" s="1">
        <f>IF(B748="", "", "g")</f>
        <v>0</v>
      </c>
    </row>
    <row r="749" spans="1:11">
      <c r="A749">
        <f>IF(COUNTBLANK(B749:K749)&lt;&gt;COLUMNS(B749:K749),748,"")</f>
        <v>0</v>
      </c>
      <c r="C749" s="2">
        <f>IF(B749="", "", "missing: not provided")</f>
        <v>0</v>
      </c>
      <c r="D749" s="1">
        <f>IF(B749="", "", "weeks")</f>
        <v>0</v>
      </c>
      <c r="E749" s="1">
        <f>IF(B749="", "", "urban biome")</f>
        <v>0</v>
      </c>
      <c r="F749" s="1">
        <f>IF(B749="", "", "animal-associated habitat")</f>
        <v>0</v>
      </c>
      <c r="G749" s="1">
        <f>IF(B749="", "", "mouse")</f>
        <v>0</v>
      </c>
      <c r="H749" s="1">
        <f>IF(B749="", "", "Mus musculus")</f>
        <v>0</v>
      </c>
      <c r="I749" s="1">
        <f>IF(B749="", "", "10090")</f>
        <v>0</v>
      </c>
      <c r="J749" s="2">
        <f>IF(B749="", "", "missing: not provided")</f>
        <v>0</v>
      </c>
      <c r="K749" s="1">
        <f>IF(B749="", "", "g")</f>
        <v>0</v>
      </c>
    </row>
    <row r="750" spans="1:11">
      <c r="A750">
        <f>IF(COUNTBLANK(B750:K750)&lt;&gt;COLUMNS(B750:K750),749,"")</f>
        <v>0</v>
      </c>
      <c r="C750" s="2">
        <f>IF(B750="", "", "missing: not provided")</f>
        <v>0</v>
      </c>
      <c r="D750" s="1">
        <f>IF(B750="", "", "weeks")</f>
        <v>0</v>
      </c>
      <c r="E750" s="1">
        <f>IF(B750="", "", "urban biome")</f>
        <v>0</v>
      </c>
      <c r="F750" s="1">
        <f>IF(B750="", "", "animal-associated habitat")</f>
        <v>0</v>
      </c>
      <c r="G750" s="1">
        <f>IF(B750="", "", "mouse")</f>
        <v>0</v>
      </c>
      <c r="H750" s="1">
        <f>IF(B750="", "", "Mus musculus")</f>
        <v>0</v>
      </c>
      <c r="I750" s="1">
        <f>IF(B750="", "", "10090")</f>
        <v>0</v>
      </c>
      <c r="J750" s="2">
        <f>IF(B750="", "", "missing: not provided")</f>
        <v>0</v>
      </c>
      <c r="K750" s="1">
        <f>IF(B750="", "", "g")</f>
        <v>0</v>
      </c>
    </row>
    <row r="751" spans="1:11">
      <c r="A751">
        <f>IF(COUNTBLANK(B751:K751)&lt;&gt;COLUMNS(B751:K751),750,"")</f>
        <v>0</v>
      </c>
      <c r="C751" s="2">
        <f>IF(B751="", "", "missing: not provided")</f>
        <v>0</v>
      </c>
      <c r="D751" s="1">
        <f>IF(B751="", "", "weeks")</f>
        <v>0</v>
      </c>
      <c r="E751" s="1">
        <f>IF(B751="", "", "urban biome")</f>
        <v>0</v>
      </c>
      <c r="F751" s="1">
        <f>IF(B751="", "", "animal-associated habitat")</f>
        <v>0</v>
      </c>
      <c r="G751" s="1">
        <f>IF(B751="", "", "mouse")</f>
        <v>0</v>
      </c>
      <c r="H751" s="1">
        <f>IF(B751="", "", "Mus musculus")</f>
        <v>0</v>
      </c>
      <c r="I751" s="1">
        <f>IF(B751="", "", "10090")</f>
        <v>0</v>
      </c>
      <c r="J751" s="2">
        <f>IF(B751="", "", "missing: not provided")</f>
        <v>0</v>
      </c>
      <c r="K751" s="1">
        <f>IF(B751="", "", "g")</f>
        <v>0</v>
      </c>
    </row>
    <row r="752" spans="1:11">
      <c r="A752">
        <f>IF(COUNTBLANK(B752:K752)&lt;&gt;COLUMNS(B752:K752),751,"")</f>
        <v>0</v>
      </c>
      <c r="C752" s="2">
        <f>IF(B752="", "", "missing: not provided")</f>
        <v>0</v>
      </c>
      <c r="D752" s="1">
        <f>IF(B752="", "", "weeks")</f>
        <v>0</v>
      </c>
      <c r="E752" s="1">
        <f>IF(B752="", "", "urban biome")</f>
        <v>0</v>
      </c>
      <c r="F752" s="1">
        <f>IF(B752="", "", "animal-associated habitat")</f>
        <v>0</v>
      </c>
      <c r="G752" s="1">
        <f>IF(B752="", "", "mouse")</f>
        <v>0</v>
      </c>
      <c r="H752" s="1">
        <f>IF(B752="", "", "Mus musculus")</f>
        <v>0</v>
      </c>
      <c r="I752" s="1">
        <f>IF(B752="", "", "10090")</f>
        <v>0</v>
      </c>
      <c r="J752" s="2">
        <f>IF(B752="", "", "missing: not provided")</f>
        <v>0</v>
      </c>
      <c r="K752" s="1">
        <f>IF(B752="", "", "g")</f>
        <v>0</v>
      </c>
    </row>
    <row r="753" spans="1:11">
      <c r="A753">
        <f>IF(COUNTBLANK(B753:K753)&lt;&gt;COLUMNS(B753:K753),752,"")</f>
        <v>0</v>
      </c>
      <c r="C753" s="2">
        <f>IF(B753="", "", "missing: not provided")</f>
        <v>0</v>
      </c>
      <c r="D753" s="1">
        <f>IF(B753="", "", "weeks")</f>
        <v>0</v>
      </c>
      <c r="E753" s="1">
        <f>IF(B753="", "", "urban biome")</f>
        <v>0</v>
      </c>
      <c r="F753" s="1">
        <f>IF(B753="", "", "animal-associated habitat")</f>
        <v>0</v>
      </c>
      <c r="G753" s="1">
        <f>IF(B753="", "", "mouse")</f>
        <v>0</v>
      </c>
      <c r="H753" s="1">
        <f>IF(B753="", "", "Mus musculus")</f>
        <v>0</v>
      </c>
      <c r="I753" s="1">
        <f>IF(B753="", "", "10090")</f>
        <v>0</v>
      </c>
      <c r="J753" s="2">
        <f>IF(B753="", "", "missing: not provided")</f>
        <v>0</v>
      </c>
      <c r="K753" s="1">
        <f>IF(B753="", "", "g")</f>
        <v>0</v>
      </c>
    </row>
    <row r="754" spans="1:11">
      <c r="A754">
        <f>IF(COUNTBLANK(B754:K754)&lt;&gt;COLUMNS(B754:K754),753,"")</f>
        <v>0</v>
      </c>
      <c r="C754" s="2">
        <f>IF(B754="", "", "missing: not provided")</f>
        <v>0</v>
      </c>
      <c r="D754" s="1">
        <f>IF(B754="", "", "weeks")</f>
        <v>0</v>
      </c>
      <c r="E754" s="1">
        <f>IF(B754="", "", "urban biome")</f>
        <v>0</v>
      </c>
      <c r="F754" s="1">
        <f>IF(B754="", "", "animal-associated habitat")</f>
        <v>0</v>
      </c>
      <c r="G754" s="1">
        <f>IF(B754="", "", "mouse")</f>
        <v>0</v>
      </c>
      <c r="H754" s="1">
        <f>IF(B754="", "", "Mus musculus")</f>
        <v>0</v>
      </c>
      <c r="I754" s="1">
        <f>IF(B754="", "", "10090")</f>
        <v>0</v>
      </c>
      <c r="J754" s="2">
        <f>IF(B754="", "", "missing: not provided")</f>
        <v>0</v>
      </c>
      <c r="K754" s="1">
        <f>IF(B754="", "", "g")</f>
        <v>0</v>
      </c>
    </row>
    <row r="755" spans="1:11">
      <c r="A755">
        <f>IF(COUNTBLANK(B755:K755)&lt;&gt;COLUMNS(B755:K755),754,"")</f>
        <v>0</v>
      </c>
      <c r="C755" s="2">
        <f>IF(B755="", "", "missing: not provided")</f>
        <v>0</v>
      </c>
      <c r="D755" s="1">
        <f>IF(B755="", "", "weeks")</f>
        <v>0</v>
      </c>
      <c r="E755" s="1">
        <f>IF(B755="", "", "urban biome")</f>
        <v>0</v>
      </c>
      <c r="F755" s="1">
        <f>IF(B755="", "", "animal-associated habitat")</f>
        <v>0</v>
      </c>
      <c r="G755" s="1">
        <f>IF(B755="", "", "mouse")</f>
        <v>0</v>
      </c>
      <c r="H755" s="1">
        <f>IF(B755="", "", "Mus musculus")</f>
        <v>0</v>
      </c>
      <c r="I755" s="1">
        <f>IF(B755="", "", "10090")</f>
        <v>0</v>
      </c>
      <c r="J755" s="2">
        <f>IF(B755="", "", "missing: not provided")</f>
        <v>0</v>
      </c>
      <c r="K755" s="1">
        <f>IF(B755="", "", "g")</f>
        <v>0</v>
      </c>
    </row>
    <row r="756" spans="1:11">
      <c r="A756">
        <f>IF(COUNTBLANK(B756:K756)&lt;&gt;COLUMNS(B756:K756),755,"")</f>
        <v>0</v>
      </c>
      <c r="C756" s="2">
        <f>IF(B756="", "", "missing: not provided")</f>
        <v>0</v>
      </c>
      <c r="D756" s="1">
        <f>IF(B756="", "", "weeks")</f>
        <v>0</v>
      </c>
      <c r="E756" s="1">
        <f>IF(B756="", "", "urban biome")</f>
        <v>0</v>
      </c>
      <c r="F756" s="1">
        <f>IF(B756="", "", "animal-associated habitat")</f>
        <v>0</v>
      </c>
      <c r="G756" s="1">
        <f>IF(B756="", "", "mouse")</f>
        <v>0</v>
      </c>
      <c r="H756" s="1">
        <f>IF(B756="", "", "Mus musculus")</f>
        <v>0</v>
      </c>
      <c r="I756" s="1">
        <f>IF(B756="", "", "10090")</f>
        <v>0</v>
      </c>
      <c r="J756" s="2">
        <f>IF(B756="", "", "missing: not provided")</f>
        <v>0</v>
      </c>
      <c r="K756" s="1">
        <f>IF(B756="", "", "g")</f>
        <v>0</v>
      </c>
    </row>
    <row r="757" spans="1:11">
      <c r="A757">
        <f>IF(COUNTBLANK(B757:K757)&lt;&gt;COLUMNS(B757:K757),756,"")</f>
        <v>0</v>
      </c>
      <c r="C757" s="2">
        <f>IF(B757="", "", "missing: not provided")</f>
        <v>0</v>
      </c>
      <c r="D757" s="1">
        <f>IF(B757="", "", "weeks")</f>
        <v>0</v>
      </c>
      <c r="E757" s="1">
        <f>IF(B757="", "", "urban biome")</f>
        <v>0</v>
      </c>
      <c r="F757" s="1">
        <f>IF(B757="", "", "animal-associated habitat")</f>
        <v>0</v>
      </c>
      <c r="G757" s="1">
        <f>IF(B757="", "", "mouse")</f>
        <v>0</v>
      </c>
      <c r="H757" s="1">
        <f>IF(B757="", "", "Mus musculus")</f>
        <v>0</v>
      </c>
      <c r="I757" s="1">
        <f>IF(B757="", "", "10090")</f>
        <v>0</v>
      </c>
      <c r="J757" s="2">
        <f>IF(B757="", "", "missing: not provided")</f>
        <v>0</v>
      </c>
      <c r="K757" s="1">
        <f>IF(B757="", "", "g")</f>
        <v>0</v>
      </c>
    </row>
    <row r="758" spans="1:11">
      <c r="A758">
        <f>IF(COUNTBLANK(B758:K758)&lt;&gt;COLUMNS(B758:K758),757,"")</f>
        <v>0</v>
      </c>
      <c r="C758" s="2">
        <f>IF(B758="", "", "missing: not provided")</f>
        <v>0</v>
      </c>
      <c r="D758" s="1">
        <f>IF(B758="", "", "weeks")</f>
        <v>0</v>
      </c>
      <c r="E758" s="1">
        <f>IF(B758="", "", "urban biome")</f>
        <v>0</v>
      </c>
      <c r="F758" s="1">
        <f>IF(B758="", "", "animal-associated habitat")</f>
        <v>0</v>
      </c>
      <c r="G758" s="1">
        <f>IF(B758="", "", "mouse")</f>
        <v>0</v>
      </c>
      <c r="H758" s="1">
        <f>IF(B758="", "", "Mus musculus")</f>
        <v>0</v>
      </c>
      <c r="I758" s="1">
        <f>IF(B758="", "", "10090")</f>
        <v>0</v>
      </c>
      <c r="J758" s="2">
        <f>IF(B758="", "", "missing: not provided")</f>
        <v>0</v>
      </c>
      <c r="K758" s="1">
        <f>IF(B758="", "", "g")</f>
        <v>0</v>
      </c>
    </row>
    <row r="759" spans="1:11">
      <c r="A759">
        <f>IF(COUNTBLANK(B759:K759)&lt;&gt;COLUMNS(B759:K759),758,"")</f>
        <v>0</v>
      </c>
      <c r="C759" s="2">
        <f>IF(B759="", "", "missing: not provided")</f>
        <v>0</v>
      </c>
      <c r="D759" s="1">
        <f>IF(B759="", "", "weeks")</f>
        <v>0</v>
      </c>
      <c r="E759" s="1">
        <f>IF(B759="", "", "urban biome")</f>
        <v>0</v>
      </c>
      <c r="F759" s="1">
        <f>IF(B759="", "", "animal-associated habitat")</f>
        <v>0</v>
      </c>
      <c r="G759" s="1">
        <f>IF(B759="", "", "mouse")</f>
        <v>0</v>
      </c>
      <c r="H759" s="1">
        <f>IF(B759="", "", "Mus musculus")</f>
        <v>0</v>
      </c>
      <c r="I759" s="1">
        <f>IF(B759="", "", "10090")</f>
        <v>0</v>
      </c>
      <c r="J759" s="2">
        <f>IF(B759="", "", "missing: not provided")</f>
        <v>0</v>
      </c>
      <c r="K759" s="1">
        <f>IF(B759="", "", "g")</f>
        <v>0</v>
      </c>
    </row>
    <row r="760" spans="1:11">
      <c r="A760">
        <f>IF(COUNTBLANK(B760:K760)&lt;&gt;COLUMNS(B760:K760),759,"")</f>
        <v>0</v>
      </c>
      <c r="C760" s="2">
        <f>IF(B760="", "", "missing: not provided")</f>
        <v>0</v>
      </c>
      <c r="D760" s="1">
        <f>IF(B760="", "", "weeks")</f>
        <v>0</v>
      </c>
      <c r="E760" s="1">
        <f>IF(B760="", "", "urban biome")</f>
        <v>0</v>
      </c>
      <c r="F760" s="1">
        <f>IF(B760="", "", "animal-associated habitat")</f>
        <v>0</v>
      </c>
      <c r="G760" s="1">
        <f>IF(B760="", "", "mouse")</f>
        <v>0</v>
      </c>
      <c r="H760" s="1">
        <f>IF(B760="", "", "Mus musculus")</f>
        <v>0</v>
      </c>
      <c r="I760" s="1">
        <f>IF(B760="", "", "10090")</f>
        <v>0</v>
      </c>
      <c r="J760" s="2">
        <f>IF(B760="", "", "missing: not provided")</f>
        <v>0</v>
      </c>
      <c r="K760" s="1">
        <f>IF(B760="", "", "g")</f>
        <v>0</v>
      </c>
    </row>
    <row r="761" spans="1:11">
      <c r="A761">
        <f>IF(COUNTBLANK(B761:K761)&lt;&gt;COLUMNS(B761:K761),760,"")</f>
        <v>0</v>
      </c>
      <c r="C761" s="2">
        <f>IF(B761="", "", "missing: not provided")</f>
        <v>0</v>
      </c>
      <c r="D761" s="1">
        <f>IF(B761="", "", "weeks")</f>
        <v>0</v>
      </c>
      <c r="E761" s="1">
        <f>IF(B761="", "", "urban biome")</f>
        <v>0</v>
      </c>
      <c r="F761" s="1">
        <f>IF(B761="", "", "animal-associated habitat")</f>
        <v>0</v>
      </c>
      <c r="G761" s="1">
        <f>IF(B761="", "", "mouse")</f>
        <v>0</v>
      </c>
      <c r="H761" s="1">
        <f>IF(B761="", "", "Mus musculus")</f>
        <v>0</v>
      </c>
      <c r="I761" s="1">
        <f>IF(B761="", "", "10090")</f>
        <v>0</v>
      </c>
      <c r="J761" s="2">
        <f>IF(B761="", "", "missing: not provided")</f>
        <v>0</v>
      </c>
      <c r="K761" s="1">
        <f>IF(B761="", "", "g")</f>
        <v>0</v>
      </c>
    </row>
    <row r="762" spans="1:11">
      <c r="A762">
        <f>IF(COUNTBLANK(B762:K762)&lt;&gt;COLUMNS(B762:K762),761,"")</f>
        <v>0</v>
      </c>
      <c r="C762" s="2">
        <f>IF(B762="", "", "missing: not provided")</f>
        <v>0</v>
      </c>
      <c r="D762" s="1">
        <f>IF(B762="", "", "weeks")</f>
        <v>0</v>
      </c>
      <c r="E762" s="1">
        <f>IF(B762="", "", "urban biome")</f>
        <v>0</v>
      </c>
      <c r="F762" s="1">
        <f>IF(B762="", "", "animal-associated habitat")</f>
        <v>0</v>
      </c>
      <c r="G762" s="1">
        <f>IF(B762="", "", "mouse")</f>
        <v>0</v>
      </c>
      <c r="H762" s="1">
        <f>IF(B762="", "", "Mus musculus")</f>
        <v>0</v>
      </c>
      <c r="I762" s="1">
        <f>IF(B762="", "", "10090")</f>
        <v>0</v>
      </c>
      <c r="J762" s="2">
        <f>IF(B762="", "", "missing: not provided")</f>
        <v>0</v>
      </c>
      <c r="K762" s="1">
        <f>IF(B762="", "", "g")</f>
        <v>0</v>
      </c>
    </row>
    <row r="763" spans="1:11">
      <c r="A763">
        <f>IF(COUNTBLANK(B763:K763)&lt;&gt;COLUMNS(B763:K763),762,"")</f>
        <v>0</v>
      </c>
      <c r="C763" s="2">
        <f>IF(B763="", "", "missing: not provided")</f>
        <v>0</v>
      </c>
      <c r="D763" s="1">
        <f>IF(B763="", "", "weeks")</f>
        <v>0</v>
      </c>
      <c r="E763" s="1">
        <f>IF(B763="", "", "urban biome")</f>
        <v>0</v>
      </c>
      <c r="F763" s="1">
        <f>IF(B763="", "", "animal-associated habitat")</f>
        <v>0</v>
      </c>
      <c r="G763" s="1">
        <f>IF(B763="", "", "mouse")</f>
        <v>0</v>
      </c>
      <c r="H763" s="1">
        <f>IF(B763="", "", "Mus musculus")</f>
        <v>0</v>
      </c>
      <c r="I763" s="1">
        <f>IF(B763="", "", "10090")</f>
        <v>0</v>
      </c>
      <c r="J763" s="2">
        <f>IF(B763="", "", "missing: not provided")</f>
        <v>0</v>
      </c>
      <c r="K763" s="1">
        <f>IF(B763="", "", "g")</f>
        <v>0</v>
      </c>
    </row>
    <row r="764" spans="1:11">
      <c r="A764">
        <f>IF(COUNTBLANK(B764:K764)&lt;&gt;COLUMNS(B764:K764),763,"")</f>
        <v>0</v>
      </c>
      <c r="C764" s="2">
        <f>IF(B764="", "", "missing: not provided")</f>
        <v>0</v>
      </c>
      <c r="D764" s="1">
        <f>IF(B764="", "", "weeks")</f>
        <v>0</v>
      </c>
      <c r="E764" s="1">
        <f>IF(B764="", "", "urban biome")</f>
        <v>0</v>
      </c>
      <c r="F764" s="1">
        <f>IF(B764="", "", "animal-associated habitat")</f>
        <v>0</v>
      </c>
      <c r="G764" s="1">
        <f>IF(B764="", "", "mouse")</f>
        <v>0</v>
      </c>
      <c r="H764" s="1">
        <f>IF(B764="", "", "Mus musculus")</f>
        <v>0</v>
      </c>
      <c r="I764" s="1">
        <f>IF(B764="", "", "10090")</f>
        <v>0</v>
      </c>
      <c r="J764" s="2">
        <f>IF(B764="", "", "missing: not provided")</f>
        <v>0</v>
      </c>
      <c r="K764" s="1">
        <f>IF(B764="", "", "g")</f>
        <v>0</v>
      </c>
    </row>
    <row r="765" spans="1:11">
      <c r="A765">
        <f>IF(COUNTBLANK(B765:K765)&lt;&gt;COLUMNS(B765:K765),764,"")</f>
        <v>0</v>
      </c>
      <c r="C765" s="2">
        <f>IF(B765="", "", "missing: not provided")</f>
        <v>0</v>
      </c>
      <c r="D765" s="1">
        <f>IF(B765="", "", "weeks")</f>
        <v>0</v>
      </c>
      <c r="E765" s="1">
        <f>IF(B765="", "", "urban biome")</f>
        <v>0</v>
      </c>
      <c r="F765" s="1">
        <f>IF(B765="", "", "animal-associated habitat")</f>
        <v>0</v>
      </c>
      <c r="G765" s="1">
        <f>IF(B765="", "", "mouse")</f>
        <v>0</v>
      </c>
      <c r="H765" s="1">
        <f>IF(B765="", "", "Mus musculus")</f>
        <v>0</v>
      </c>
      <c r="I765" s="1">
        <f>IF(B765="", "", "10090")</f>
        <v>0</v>
      </c>
      <c r="J765" s="2">
        <f>IF(B765="", "", "missing: not provided")</f>
        <v>0</v>
      </c>
      <c r="K765" s="1">
        <f>IF(B765="", "", "g")</f>
        <v>0</v>
      </c>
    </row>
    <row r="766" spans="1:11">
      <c r="A766">
        <f>IF(COUNTBLANK(B766:K766)&lt;&gt;COLUMNS(B766:K766),765,"")</f>
        <v>0</v>
      </c>
      <c r="C766" s="2">
        <f>IF(B766="", "", "missing: not provided")</f>
        <v>0</v>
      </c>
      <c r="D766" s="1">
        <f>IF(B766="", "", "weeks")</f>
        <v>0</v>
      </c>
      <c r="E766" s="1">
        <f>IF(B766="", "", "urban biome")</f>
        <v>0</v>
      </c>
      <c r="F766" s="1">
        <f>IF(B766="", "", "animal-associated habitat")</f>
        <v>0</v>
      </c>
      <c r="G766" s="1">
        <f>IF(B766="", "", "mouse")</f>
        <v>0</v>
      </c>
      <c r="H766" s="1">
        <f>IF(B766="", "", "Mus musculus")</f>
        <v>0</v>
      </c>
      <c r="I766" s="1">
        <f>IF(B766="", "", "10090")</f>
        <v>0</v>
      </c>
      <c r="J766" s="2">
        <f>IF(B766="", "", "missing: not provided")</f>
        <v>0</v>
      </c>
      <c r="K766" s="1">
        <f>IF(B766="", "", "g")</f>
        <v>0</v>
      </c>
    </row>
    <row r="767" spans="1:11">
      <c r="A767">
        <f>IF(COUNTBLANK(B767:K767)&lt;&gt;COLUMNS(B767:K767),766,"")</f>
        <v>0</v>
      </c>
      <c r="C767" s="2">
        <f>IF(B767="", "", "missing: not provided")</f>
        <v>0</v>
      </c>
      <c r="D767" s="1">
        <f>IF(B767="", "", "weeks")</f>
        <v>0</v>
      </c>
      <c r="E767" s="1">
        <f>IF(B767="", "", "urban biome")</f>
        <v>0</v>
      </c>
      <c r="F767" s="1">
        <f>IF(B767="", "", "animal-associated habitat")</f>
        <v>0</v>
      </c>
      <c r="G767" s="1">
        <f>IF(B767="", "", "mouse")</f>
        <v>0</v>
      </c>
      <c r="H767" s="1">
        <f>IF(B767="", "", "Mus musculus")</f>
        <v>0</v>
      </c>
      <c r="I767" s="1">
        <f>IF(B767="", "", "10090")</f>
        <v>0</v>
      </c>
      <c r="J767" s="2">
        <f>IF(B767="", "", "missing: not provided")</f>
        <v>0</v>
      </c>
      <c r="K767" s="1">
        <f>IF(B767="", "", "g")</f>
        <v>0</v>
      </c>
    </row>
    <row r="768" spans="1:11">
      <c r="A768">
        <f>IF(COUNTBLANK(B768:K768)&lt;&gt;COLUMNS(B768:K768),767,"")</f>
        <v>0</v>
      </c>
      <c r="C768" s="2">
        <f>IF(B768="", "", "missing: not provided")</f>
        <v>0</v>
      </c>
      <c r="D768" s="1">
        <f>IF(B768="", "", "weeks")</f>
        <v>0</v>
      </c>
      <c r="E768" s="1">
        <f>IF(B768="", "", "urban biome")</f>
        <v>0</v>
      </c>
      <c r="F768" s="1">
        <f>IF(B768="", "", "animal-associated habitat")</f>
        <v>0</v>
      </c>
      <c r="G768" s="1">
        <f>IF(B768="", "", "mouse")</f>
        <v>0</v>
      </c>
      <c r="H768" s="1">
        <f>IF(B768="", "", "Mus musculus")</f>
        <v>0</v>
      </c>
      <c r="I768" s="1">
        <f>IF(B768="", "", "10090")</f>
        <v>0</v>
      </c>
      <c r="J768" s="2">
        <f>IF(B768="", "", "missing: not provided")</f>
        <v>0</v>
      </c>
      <c r="K768" s="1">
        <f>IF(B768="", "", "g")</f>
        <v>0</v>
      </c>
    </row>
    <row r="769" spans="1:11">
      <c r="A769">
        <f>IF(COUNTBLANK(B769:K769)&lt;&gt;COLUMNS(B769:K769),768,"")</f>
        <v>0</v>
      </c>
      <c r="C769" s="2">
        <f>IF(B769="", "", "missing: not provided")</f>
        <v>0</v>
      </c>
      <c r="D769" s="1">
        <f>IF(B769="", "", "weeks")</f>
        <v>0</v>
      </c>
      <c r="E769" s="1">
        <f>IF(B769="", "", "urban biome")</f>
        <v>0</v>
      </c>
      <c r="F769" s="1">
        <f>IF(B769="", "", "animal-associated habitat")</f>
        <v>0</v>
      </c>
      <c r="G769" s="1">
        <f>IF(B769="", "", "mouse")</f>
        <v>0</v>
      </c>
      <c r="H769" s="1">
        <f>IF(B769="", "", "Mus musculus")</f>
        <v>0</v>
      </c>
      <c r="I769" s="1">
        <f>IF(B769="", "", "10090")</f>
        <v>0</v>
      </c>
      <c r="J769" s="2">
        <f>IF(B769="", "", "missing: not provided")</f>
        <v>0</v>
      </c>
      <c r="K769" s="1">
        <f>IF(B769="", "", "g")</f>
        <v>0</v>
      </c>
    </row>
    <row r="770" spans="1:11">
      <c r="A770">
        <f>IF(COUNTBLANK(B770:K770)&lt;&gt;COLUMNS(B770:K770),769,"")</f>
        <v>0</v>
      </c>
      <c r="C770" s="2">
        <f>IF(B770="", "", "missing: not provided")</f>
        <v>0</v>
      </c>
      <c r="D770" s="1">
        <f>IF(B770="", "", "weeks")</f>
        <v>0</v>
      </c>
      <c r="E770" s="1">
        <f>IF(B770="", "", "urban biome")</f>
        <v>0</v>
      </c>
      <c r="F770" s="1">
        <f>IF(B770="", "", "animal-associated habitat")</f>
        <v>0</v>
      </c>
      <c r="G770" s="1">
        <f>IF(B770="", "", "mouse")</f>
        <v>0</v>
      </c>
      <c r="H770" s="1">
        <f>IF(B770="", "", "Mus musculus")</f>
        <v>0</v>
      </c>
      <c r="I770" s="1">
        <f>IF(B770="", "", "10090")</f>
        <v>0</v>
      </c>
      <c r="J770" s="2">
        <f>IF(B770="", "", "missing: not provided")</f>
        <v>0</v>
      </c>
      <c r="K770" s="1">
        <f>IF(B770="", "", "g")</f>
        <v>0</v>
      </c>
    </row>
    <row r="771" spans="1:11">
      <c r="A771">
        <f>IF(COUNTBLANK(B771:K771)&lt;&gt;COLUMNS(B771:K771),770,"")</f>
        <v>0</v>
      </c>
      <c r="C771" s="2">
        <f>IF(B771="", "", "missing: not provided")</f>
        <v>0</v>
      </c>
      <c r="D771" s="1">
        <f>IF(B771="", "", "weeks")</f>
        <v>0</v>
      </c>
      <c r="E771" s="1">
        <f>IF(B771="", "", "urban biome")</f>
        <v>0</v>
      </c>
      <c r="F771" s="1">
        <f>IF(B771="", "", "animal-associated habitat")</f>
        <v>0</v>
      </c>
      <c r="G771" s="1">
        <f>IF(B771="", "", "mouse")</f>
        <v>0</v>
      </c>
      <c r="H771" s="1">
        <f>IF(B771="", "", "Mus musculus")</f>
        <v>0</v>
      </c>
      <c r="I771" s="1">
        <f>IF(B771="", "", "10090")</f>
        <v>0</v>
      </c>
      <c r="J771" s="2">
        <f>IF(B771="", "", "missing: not provided")</f>
        <v>0</v>
      </c>
      <c r="K771" s="1">
        <f>IF(B771="", "", "g")</f>
        <v>0</v>
      </c>
    </row>
    <row r="772" spans="1:11">
      <c r="A772">
        <f>IF(COUNTBLANK(B772:K772)&lt;&gt;COLUMNS(B772:K772),771,"")</f>
        <v>0</v>
      </c>
      <c r="C772" s="2">
        <f>IF(B772="", "", "missing: not provided")</f>
        <v>0</v>
      </c>
      <c r="D772" s="1">
        <f>IF(B772="", "", "weeks")</f>
        <v>0</v>
      </c>
      <c r="E772" s="1">
        <f>IF(B772="", "", "urban biome")</f>
        <v>0</v>
      </c>
      <c r="F772" s="1">
        <f>IF(B772="", "", "animal-associated habitat")</f>
        <v>0</v>
      </c>
      <c r="G772" s="1">
        <f>IF(B772="", "", "mouse")</f>
        <v>0</v>
      </c>
      <c r="H772" s="1">
        <f>IF(B772="", "", "Mus musculus")</f>
        <v>0</v>
      </c>
      <c r="I772" s="1">
        <f>IF(B772="", "", "10090")</f>
        <v>0</v>
      </c>
      <c r="J772" s="2">
        <f>IF(B772="", "", "missing: not provided")</f>
        <v>0</v>
      </c>
      <c r="K772" s="1">
        <f>IF(B772="", "", "g")</f>
        <v>0</v>
      </c>
    </row>
    <row r="773" spans="1:11">
      <c r="A773">
        <f>IF(COUNTBLANK(B773:K773)&lt;&gt;COLUMNS(B773:K773),772,"")</f>
        <v>0</v>
      </c>
      <c r="C773" s="2">
        <f>IF(B773="", "", "missing: not provided")</f>
        <v>0</v>
      </c>
      <c r="D773" s="1">
        <f>IF(B773="", "", "weeks")</f>
        <v>0</v>
      </c>
      <c r="E773" s="1">
        <f>IF(B773="", "", "urban biome")</f>
        <v>0</v>
      </c>
      <c r="F773" s="1">
        <f>IF(B773="", "", "animal-associated habitat")</f>
        <v>0</v>
      </c>
      <c r="G773" s="1">
        <f>IF(B773="", "", "mouse")</f>
        <v>0</v>
      </c>
      <c r="H773" s="1">
        <f>IF(B773="", "", "Mus musculus")</f>
        <v>0</v>
      </c>
      <c r="I773" s="1">
        <f>IF(B773="", "", "10090")</f>
        <v>0</v>
      </c>
      <c r="J773" s="2">
        <f>IF(B773="", "", "missing: not provided")</f>
        <v>0</v>
      </c>
      <c r="K773" s="1">
        <f>IF(B773="", "", "g")</f>
        <v>0</v>
      </c>
    </row>
    <row r="774" spans="1:11">
      <c r="A774">
        <f>IF(COUNTBLANK(B774:K774)&lt;&gt;COLUMNS(B774:K774),773,"")</f>
        <v>0</v>
      </c>
      <c r="C774" s="2">
        <f>IF(B774="", "", "missing: not provided")</f>
        <v>0</v>
      </c>
      <c r="D774" s="1">
        <f>IF(B774="", "", "weeks")</f>
        <v>0</v>
      </c>
      <c r="E774" s="1">
        <f>IF(B774="", "", "urban biome")</f>
        <v>0</v>
      </c>
      <c r="F774" s="1">
        <f>IF(B774="", "", "animal-associated habitat")</f>
        <v>0</v>
      </c>
      <c r="G774" s="1">
        <f>IF(B774="", "", "mouse")</f>
        <v>0</v>
      </c>
      <c r="H774" s="1">
        <f>IF(B774="", "", "Mus musculus")</f>
        <v>0</v>
      </c>
      <c r="I774" s="1">
        <f>IF(B774="", "", "10090")</f>
        <v>0</v>
      </c>
      <c r="J774" s="2">
        <f>IF(B774="", "", "missing: not provided")</f>
        <v>0</v>
      </c>
      <c r="K774" s="1">
        <f>IF(B774="", "", "g")</f>
        <v>0</v>
      </c>
    </row>
    <row r="775" spans="1:11">
      <c r="A775">
        <f>IF(COUNTBLANK(B775:K775)&lt;&gt;COLUMNS(B775:K775),774,"")</f>
        <v>0</v>
      </c>
      <c r="C775" s="2">
        <f>IF(B775="", "", "missing: not provided")</f>
        <v>0</v>
      </c>
      <c r="D775" s="1">
        <f>IF(B775="", "", "weeks")</f>
        <v>0</v>
      </c>
      <c r="E775" s="1">
        <f>IF(B775="", "", "urban biome")</f>
        <v>0</v>
      </c>
      <c r="F775" s="1">
        <f>IF(B775="", "", "animal-associated habitat")</f>
        <v>0</v>
      </c>
      <c r="G775" s="1">
        <f>IF(B775="", "", "mouse")</f>
        <v>0</v>
      </c>
      <c r="H775" s="1">
        <f>IF(B775="", "", "Mus musculus")</f>
        <v>0</v>
      </c>
      <c r="I775" s="1">
        <f>IF(B775="", "", "10090")</f>
        <v>0</v>
      </c>
      <c r="J775" s="2">
        <f>IF(B775="", "", "missing: not provided")</f>
        <v>0</v>
      </c>
      <c r="K775" s="1">
        <f>IF(B775="", "", "g")</f>
        <v>0</v>
      </c>
    </row>
    <row r="776" spans="1:11">
      <c r="A776">
        <f>IF(COUNTBLANK(B776:K776)&lt;&gt;COLUMNS(B776:K776),775,"")</f>
        <v>0</v>
      </c>
      <c r="C776" s="2">
        <f>IF(B776="", "", "missing: not provided")</f>
        <v>0</v>
      </c>
      <c r="D776" s="1">
        <f>IF(B776="", "", "weeks")</f>
        <v>0</v>
      </c>
      <c r="E776" s="1">
        <f>IF(B776="", "", "urban biome")</f>
        <v>0</v>
      </c>
      <c r="F776" s="1">
        <f>IF(B776="", "", "animal-associated habitat")</f>
        <v>0</v>
      </c>
      <c r="G776" s="1">
        <f>IF(B776="", "", "mouse")</f>
        <v>0</v>
      </c>
      <c r="H776" s="1">
        <f>IF(B776="", "", "Mus musculus")</f>
        <v>0</v>
      </c>
      <c r="I776" s="1">
        <f>IF(B776="", "", "10090")</f>
        <v>0</v>
      </c>
      <c r="J776" s="2">
        <f>IF(B776="", "", "missing: not provided")</f>
        <v>0</v>
      </c>
      <c r="K776" s="1">
        <f>IF(B776="", "", "g")</f>
        <v>0</v>
      </c>
    </row>
    <row r="777" spans="1:11">
      <c r="A777">
        <f>IF(COUNTBLANK(B777:K777)&lt;&gt;COLUMNS(B777:K777),776,"")</f>
        <v>0</v>
      </c>
      <c r="C777" s="2">
        <f>IF(B777="", "", "missing: not provided")</f>
        <v>0</v>
      </c>
      <c r="D777" s="1">
        <f>IF(B777="", "", "weeks")</f>
        <v>0</v>
      </c>
      <c r="E777" s="1">
        <f>IF(B777="", "", "urban biome")</f>
        <v>0</v>
      </c>
      <c r="F777" s="1">
        <f>IF(B777="", "", "animal-associated habitat")</f>
        <v>0</v>
      </c>
      <c r="G777" s="1">
        <f>IF(B777="", "", "mouse")</f>
        <v>0</v>
      </c>
      <c r="H777" s="1">
        <f>IF(B777="", "", "Mus musculus")</f>
        <v>0</v>
      </c>
      <c r="I777" s="1">
        <f>IF(B777="", "", "10090")</f>
        <v>0</v>
      </c>
      <c r="J777" s="2">
        <f>IF(B777="", "", "missing: not provided")</f>
        <v>0</v>
      </c>
      <c r="K777" s="1">
        <f>IF(B777="", "", "g")</f>
        <v>0</v>
      </c>
    </row>
    <row r="778" spans="1:11">
      <c r="A778">
        <f>IF(COUNTBLANK(B778:K778)&lt;&gt;COLUMNS(B778:K778),777,"")</f>
        <v>0</v>
      </c>
      <c r="C778" s="2">
        <f>IF(B778="", "", "missing: not provided")</f>
        <v>0</v>
      </c>
      <c r="D778" s="1">
        <f>IF(B778="", "", "weeks")</f>
        <v>0</v>
      </c>
      <c r="E778" s="1">
        <f>IF(B778="", "", "urban biome")</f>
        <v>0</v>
      </c>
      <c r="F778" s="1">
        <f>IF(B778="", "", "animal-associated habitat")</f>
        <v>0</v>
      </c>
      <c r="G778" s="1">
        <f>IF(B778="", "", "mouse")</f>
        <v>0</v>
      </c>
      <c r="H778" s="1">
        <f>IF(B778="", "", "Mus musculus")</f>
        <v>0</v>
      </c>
      <c r="I778" s="1">
        <f>IF(B778="", "", "10090")</f>
        <v>0</v>
      </c>
      <c r="J778" s="2">
        <f>IF(B778="", "", "missing: not provided")</f>
        <v>0</v>
      </c>
      <c r="K778" s="1">
        <f>IF(B778="", "", "g")</f>
        <v>0</v>
      </c>
    </row>
    <row r="779" spans="1:11">
      <c r="A779">
        <f>IF(COUNTBLANK(B779:K779)&lt;&gt;COLUMNS(B779:K779),778,"")</f>
        <v>0</v>
      </c>
      <c r="C779" s="2">
        <f>IF(B779="", "", "missing: not provided")</f>
        <v>0</v>
      </c>
      <c r="D779" s="1">
        <f>IF(B779="", "", "weeks")</f>
        <v>0</v>
      </c>
      <c r="E779" s="1">
        <f>IF(B779="", "", "urban biome")</f>
        <v>0</v>
      </c>
      <c r="F779" s="1">
        <f>IF(B779="", "", "animal-associated habitat")</f>
        <v>0</v>
      </c>
      <c r="G779" s="1">
        <f>IF(B779="", "", "mouse")</f>
        <v>0</v>
      </c>
      <c r="H779" s="1">
        <f>IF(B779="", "", "Mus musculus")</f>
        <v>0</v>
      </c>
      <c r="I779" s="1">
        <f>IF(B779="", "", "10090")</f>
        <v>0</v>
      </c>
      <c r="J779" s="2">
        <f>IF(B779="", "", "missing: not provided")</f>
        <v>0</v>
      </c>
      <c r="K779" s="1">
        <f>IF(B779="", "", "g")</f>
        <v>0</v>
      </c>
    </row>
    <row r="780" spans="1:11">
      <c r="A780">
        <f>IF(COUNTBLANK(B780:K780)&lt;&gt;COLUMNS(B780:K780),779,"")</f>
        <v>0</v>
      </c>
      <c r="C780" s="2">
        <f>IF(B780="", "", "missing: not provided")</f>
        <v>0</v>
      </c>
      <c r="D780" s="1">
        <f>IF(B780="", "", "weeks")</f>
        <v>0</v>
      </c>
      <c r="E780" s="1">
        <f>IF(B780="", "", "urban biome")</f>
        <v>0</v>
      </c>
      <c r="F780" s="1">
        <f>IF(B780="", "", "animal-associated habitat")</f>
        <v>0</v>
      </c>
      <c r="G780" s="1">
        <f>IF(B780="", "", "mouse")</f>
        <v>0</v>
      </c>
      <c r="H780" s="1">
        <f>IF(B780="", "", "Mus musculus")</f>
        <v>0</v>
      </c>
      <c r="I780" s="1">
        <f>IF(B780="", "", "10090")</f>
        <v>0</v>
      </c>
      <c r="J780" s="2">
        <f>IF(B780="", "", "missing: not provided")</f>
        <v>0</v>
      </c>
      <c r="K780" s="1">
        <f>IF(B780="", "", "g")</f>
        <v>0</v>
      </c>
    </row>
    <row r="781" spans="1:11">
      <c r="A781">
        <f>IF(COUNTBLANK(B781:K781)&lt;&gt;COLUMNS(B781:K781),780,"")</f>
        <v>0</v>
      </c>
      <c r="C781" s="2">
        <f>IF(B781="", "", "missing: not provided")</f>
        <v>0</v>
      </c>
      <c r="D781" s="1">
        <f>IF(B781="", "", "weeks")</f>
        <v>0</v>
      </c>
      <c r="E781" s="1">
        <f>IF(B781="", "", "urban biome")</f>
        <v>0</v>
      </c>
      <c r="F781" s="1">
        <f>IF(B781="", "", "animal-associated habitat")</f>
        <v>0</v>
      </c>
      <c r="G781" s="1">
        <f>IF(B781="", "", "mouse")</f>
        <v>0</v>
      </c>
      <c r="H781" s="1">
        <f>IF(B781="", "", "Mus musculus")</f>
        <v>0</v>
      </c>
      <c r="I781" s="1">
        <f>IF(B781="", "", "10090")</f>
        <v>0</v>
      </c>
      <c r="J781" s="2">
        <f>IF(B781="", "", "missing: not provided")</f>
        <v>0</v>
      </c>
      <c r="K781" s="1">
        <f>IF(B781="", "", "g")</f>
        <v>0</v>
      </c>
    </row>
    <row r="782" spans="1:11">
      <c r="A782">
        <f>IF(COUNTBLANK(B782:K782)&lt;&gt;COLUMNS(B782:K782),781,"")</f>
        <v>0</v>
      </c>
      <c r="C782" s="2">
        <f>IF(B782="", "", "missing: not provided")</f>
        <v>0</v>
      </c>
      <c r="D782" s="1">
        <f>IF(B782="", "", "weeks")</f>
        <v>0</v>
      </c>
      <c r="E782" s="1">
        <f>IF(B782="", "", "urban biome")</f>
        <v>0</v>
      </c>
      <c r="F782" s="1">
        <f>IF(B782="", "", "animal-associated habitat")</f>
        <v>0</v>
      </c>
      <c r="G782" s="1">
        <f>IF(B782="", "", "mouse")</f>
        <v>0</v>
      </c>
      <c r="H782" s="1">
        <f>IF(B782="", "", "Mus musculus")</f>
        <v>0</v>
      </c>
      <c r="I782" s="1">
        <f>IF(B782="", "", "10090")</f>
        <v>0</v>
      </c>
      <c r="J782" s="2">
        <f>IF(B782="", "", "missing: not provided")</f>
        <v>0</v>
      </c>
      <c r="K782" s="1">
        <f>IF(B782="", "", "g")</f>
        <v>0</v>
      </c>
    </row>
    <row r="783" spans="1:11">
      <c r="A783">
        <f>IF(COUNTBLANK(B783:K783)&lt;&gt;COLUMNS(B783:K783),782,"")</f>
        <v>0</v>
      </c>
      <c r="C783" s="2">
        <f>IF(B783="", "", "missing: not provided")</f>
        <v>0</v>
      </c>
      <c r="D783" s="1">
        <f>IF(B783="", "", "weeks")</f>
        <v>0</v>
      </c>
      <c r="E783" s="1">
        <f>IF(B783="", "", "urban biome")</f>
        <v>0</v>
      </c>
      <c r="F783" s="1">
        <f>IF(B783="", "", "animal-associated habitat")</f>
        <v>0</v>
      </c>
      <c r="G783" s="1">
        <f>IF(B783="", "", "mouse")</f>
        <v>0</v>
      </c>
      <c r="H783" s="1">
        <f>IF(B783="", "", "Mus musculus")</f>
        <v>0</v>
      </c>
      <c r="I783" s="1">
        <f>IF(B783="", "", "10090")</f>
        <v>0</v>
      </c>
      <c r="J783" s="2">
        <f>IF(B783="", "", "missing: not provided")</f>
        <v>0</v>
      </c>
      <c r="K783" s="1">
        <f>IF(B783="", "", "g")</f>
        <v>0</v>
      </c>
    </row>
    <row r="784" spans="1:11">
      <c r="A784">
        <f>IF(COUNTBLANK(B784:K784)&lt;&gt;COLUMNS(B784:K784),783,"")</f>
        <v>0</v>
      </c>
      <c r="C784" s="2">
        <f>IF(B784="", "", "missing: not provided")</f>
        <v>0</v>
      </c>
      <c r="D784" s="1">
        <f>IF(B784="", "", "weeks")</f>
        <v>0</v>
      </c>
      <c r="E784" s="1">
        <f>IF(B784="", "", "urban biome")</f>
        <v>0</v>
      </c>
      <c r="F784" s="1">
        <f>IF(B784="", "", "animal-associated habitat")</f>
        <v>0</v>
      </c>
      <c r="G784" s="1">
        <f>IF(B784="", "", "mouse")</f>
        <v>0</v>
      </c>
      <c r="H784" s="1">
        <f>IF(B784="", "", "Mus musculus")</f>
        <v>0</v>
      </c>
      <c r="I784" s="1">
        <f>IF(B784="", "", "10090")</f>
        <v>0</v>
      </c>
      <c r="J784" s="2">
        <f>IF(B784="", "", "missing: not provided")</f>
        <v>0</v>
      </c>
      <c r="K784" s="1">
        <f>IF(B784="", "", "g")</f>
        <v>0</v>
      </c>
    </row>
    <row r="785" spans="1:11">
      <c r="A785">
        <f>IF(COUNTBLANK(B785:K785)&lt;&gt;COLUMNS(B785:K785),784,"")</f>
        <v>0</v>
      </c>
      <c r="C785" s="2">
        <f>IF(B785="", "", "missing: not provided")</f>
        <v>0</v>
      </c>
      <c r="D785" s="1">
        <f>IF(B785="", "", "weeks")</f>
        <v>0</v>
      </c>
      <c r="E785" s="1">
        <f>IF(B785="", "", "urban biome")</f>
        <v>0</v>
      </c>
      <c r="F785" s="1">
        <f>IF(B785="", "", "animal-associated habitat")</f>
        <v>0</v>
      </c>
      <c r="G785" s="1">
        <f>IF(B785="", "", "mouse")</f>
        <v>0</v>
      </c>
      <c r="H785" s="1">
        <f>IF(B785="", "", "Mus musculus")</f>
        <v>0</v>
      </c>
      <c r="I785" s="1">
        <f>IF(B785="", "", "10090")</f>
        <v>0</v>
      </c>
      <c r="J785" s="2">
        <f>IF(B785="", "", "missing: not provided")</f>
        <v>0</v>
      </c>
      <c r="K785" s="1">
        <f>IF(B785="", "", "g")</f>
        <v>0</v>
      </c>
    </row>
    <row r="786" spans="1:11">
      <c r="A786">
        <f>IF(COUNTBLANK(B786:K786)&lt;&gt;COLUMNS(B786:K786),785,"")</f>
        <v>0</v>
      </c>
      <c r="C786" s="2">
        <f>IF(B786="", "", "missing: not provided")</f>
        <v>0</v>
      </c>
      <c r="D786" s="1">
        <f>IF(B786="", "", "weeks")</f>
        <v>0</v>
      </c>
      <c r="E786" s="1">
        <f>IF(B786="", "", "urban biome")</f>
        <v>0</v>
      </c>
      <c r="F786" s="1">
        <f>IF(B786="", "", "animal-associated habitat")</f>
        <v>0</v>
      </c>
      <c r="G786" s="1">
        <f>IF(B786="", "", "mouse")</f>
        <v>0</v>
      </c>
      <c r="H786" s="1">
        <f>IF(B786="", "", "Mus musculus")</f>
        <v>0</v>
      </c>
      <c r="I786" s="1">
        <f>IF(B786="", "", "10090")</f>
        <v>0</v>
      </c>
      <c r="J786" s="2">
        <f>IF(B786="", "", "missing: not provided")</f>
        <v>0</v>
      </c>
      <c r="K786" s="1">
        <f>IF(B786="", "", "g")</f>
        <v>0</v>
      </c>
    </row>
    <row r="787" spans="1:11">
      <c r="A787">
        <f>IF(COUNTBLANK(B787:K787)&lt;&gt;COLUMNS(B787:K787),786,"")</f>
        <v>0</v>
      </c>
      <c r="C787" s="2">
        <f>IF(B787="", "", "missing: not provided")</f>
        <v>0</v>
      </c>
      <c r="D787" s="1">
        <f>IF(B787="", "", "weeks")</f>
        <v>0</v>
      </c>
      <c r="E787" s="1">
        <f>IF(B787="", "", "urban biome")</f>
        <v>0</v>
      </c>
      <c r="F787" s="1">
        <f>IF(B787="", "", "animal-associated habitat")</f>
        <v>0</v>
      </c>
      <c r="G787" s="1">
        <f>IF(B787="", "", "mouse")</f>
        <v>0</v>
      </c>
      <c r="H787" s="1">
        <f>IF(B787="", "", "Mus musculus")</f>
        <v>0</v>
      </c>
      <c r="I787" s="1">
        <f>IF(B787="", "", "10090")</f>
        <v>0</v>
      </c>
      <c r="J787" s="2">
        <f>IF(B787="", "", "missing: not provided")</f>
        <v>0</v>
      </c>
      <c r="K787" s="1">
        <f>IF(B787="", "", "g")</f>
        <v>0</v>
      </c>
    </row>
    <row r="788" spans="1:11">
      <c r="A788">
        <f>IF(COUNTBLANK(B788:K788)&lt;&gt;COLUMNS(B788:K788),787,"")</f>
        <v>0</v>
      </c>
      <c r="C788" s="2">
        <f>IF(B788="", "", "missing: not provided")</f>
        <v>0</v>
      </c>
      <c r="D788" s="1">
        <f>IF(B788="", "", "weeks")</f>
        <v>0</v>
      </c>
      <c r="E788" s="1">
        <f>IF(B788="", "", "urban biome")</f>
        <v>0</v>
      </c>
      <c r="F788" s="1">
        <f>IF(B788="", "", "animal-associated habitat")</f>
        <v>0</v>
      </c>
      <c r="G788" s="1">
        <f>IF(B788="", "", "mouse")</f>
        <v>0</v>
      </c>
      <c r="H788" s="1">
        <f>IF(B788="", "", "Mus musculus")</f>
        <v>0</v>
      </c>
      <c r="I788" s="1">
        <f>IF(B788="", "", "10090")</f>
        <v>0</v>
      </c>
      <c r="J788" s="2">
        <f>IF(B788="", "", "missing: not provided")</f>
        <v>0</v>
      </c>
      <c r="K788" s="1">
        <f>IF(B788="", "", "g")</f>
        <v>0</v>
      </c>
    </row>
    <row r="789" spans="1:11">
      <c r="A789">
        <f>IF(COUNTBLANK(B789:K789)&lt;&gt;COLUMNS(B789:K789),788,"")</f>
        <v>0</v>
      </c>
      <c r="C789" s="2">
        <f>IF(B789="", "", "missing: not provided")</f>
        <v>0</v>
      </c>
      <c r="D789" s="1">
        <f>IF(B789="", "", "weeks")</f>
        <v>0</v>
      </c>
      <c r="E789" s="1">
        <f>IF(B789="", "", "urban biome")</f>
        <v>0</v>
      </c>
      <c r="F789" s="1">
        <f>IF(B789="", "", "animal-associated habitat")</f>
        <v>0</v>
      </c>
      <c r="G789" s="1">
        <f>IF(B789="", "", "mouse")</f>
        <v>0</v>
      </c>
      <c r="H789" s="1">
        <f>IF(B789="", "", "Mus musculus")</f>
        <v>0</v>
      </c>
      <c r="I789" s="1">
        <f>IF(B789="", "", "10090")</f>
        <v>0</v>
      </c>
      <c r="J789" s="2">
        <f>IF(B789="", "", "missing: not provided")</f>
        <v>0</v>
      </c>
      <c r="K789" s="1">
        <f>IF(B789="", "", "g")</f>
        <v>0</v>
      </c>
    </row>
    <row r="790" spans="1:11">
      <c r="A790">
        <f>IF(COUNTBLANK(B790:K790)&lt;&gt;COLUMNS(B790:K790),789,"")</f>
        <v>0</v>
      </c>
      <c r="C790" s="2">
        <f>IF(B790="", "", "missing: not provided")</f>
        <v>0</v>
      </c>
      <c r="D790" s="1">
        <f>IF(B790="", "", "weeks")</f>
        <v>0</v>
      </c>
      <c r="E790" s="1">
        <f>IF(B790="", "", "urban biome")</f>
        <v>0</v>
      </c>
      <c r="F790" s="1">
        <f>IF(B790="", "", "animal-associated habitat")</f>
        <v>0</v>
      </c>
      <c r="G790" s="1">
        <f>IF(B790="", "", "mouse")</f>
        <v>0</v>
      </c>
      <c r="H790" s="1">
        <f>IF(B790="", "", "Mus musculus")</f>
        <v>0</v>
      </c>
      <c r="I790" s="1">
        <f>IF(B790="", "", "10090")</f>
        <v>0</v>
      </c>
      <c r="J790" s="2">
        <f>IF(B790="", "", "missing: not provided")</f>
        <v>0</v>
      </c>
      <c r="K790" s="1">
        <f>IF(B790="", "", "g")</f>
        <v>0</v>
      </c>
    </row>
    <row r="791" spans="1:11">
      <c r="A791">
        <f>IF(COUNTBLANK(B791:K791)&lt;&gt;COLUMNS(B791:K791),790,"")</f>
        <v>0</v>
      </c>
      <c r="C791" s="2">
        <f>IF(B791="", "", "missing: not provided")</f>
        <v>0</v>
      </c>
      <c r="D791" s="1">
        <f>IF(B791="", "", "weeks")</f>
        <v>0</v>
      </c>
      <c r="E791" s="1">
        <f>IF(B791="", "", "urban biome")</f>
        <v>0</v>
      </c>
      <c r="F791" s="1">
        <f>IF(B791="", "", "animal-associated habitat")</f>
        <v>0</v>
      </c>
      <c r="G791" s="1">
        <f>IF(B791="", "", "mouse")</f>
        <v>0</v>
      </c>
      <c r="H791" s="1">
        <f>IF(B791="", "", "Mus musculus")</f>
        <v>0</v>
      </c>
      <c r="I791" s="1">
        <f>IF(B791="", "", "10090")</f>
        <v>0</v>
      </c>
      <c r="J791" s="2">
        <f>IF(B791="", "", "missing: not provided")</f>
        <v>0</v>
      </c>
      <c r="K791" s="1">
        <f>IF(B791="", "", "g")</f>
        <v>0</v>
      </c>
    </row>
    <row r="792" spans="1:11">
      <c r="A792">
        <f>IF(COUNTBLANK(B792:K792)&lt;&gt;COLUMNS(B792:K792),791,"")</f>
        <v>0</v>
      </c>
      <c r="C792" s="2">
        <f>IF(B792="", "", "missing: not provided")</f>
        <v>0</v>
      </c>
      <c r="D792" s="1">
        <f>IF(B792="", "", "weeks")</f>
        <v>0</v>
      </c>
      <c r="E792" s="1">
        <f>IF(B792="", "", "urban biome")</f>
        <v>0</v>
      </c>
      <c r="F792" s="1">
        <f>IF(B792="", "", "animal-associated habitat")</f>
        <v>0</v>
      </c>
      <c r="G792" s="1">
        <f>IF(B792="", "", "mouse")</f>
        <v>0</v>
      </c>
      <c r="H792" s="1">
        <f>IF(B792="", "", "Mus musculus")</f>
        <v>0</v>
      </c>
      <c r="I792" s="1">
        <f>IF(B792="", "", "10090")</f>
        <v>0</v>
      </c>
      <c r="J792" s="2">
        <f>IF(B792="", "", "missing: not provided")</f>
        <v>0</v>
      </c>
      <c r="K792" s="1">
        <f>IF(B792="", "", "g")</f>
        <v>0</v>
      </c>
    </row>
    <row r="793" spans="1:11">
      <c r="A793">
        <f>IF(COUNTBLANK(B793:K793)&lt;&gt;COLUMNS(B793:K793),792,"")</f>
        <v>0</v>
      </c>
      <c r="C793" s="2">
        <f>IF(B793="", "", "missing: not provided")</f>
        <v>0</v>
      </c>
      <c r="D793" s="1">
        <f>IF(B793="", "", "weeks")</f>
        <v>0</v>
      </c>
      <c r="E793" s="1">
        <f>IF(B793="", "", "urban biome")</f>
        <v>0</v>
      </c>
      <c r="F793" s="1">
        <f>IF(B793="", "", "animal-associated habitat")</f>
        <v>0</v>
      </c>
      <c r="G793" s="1">
        <f>IF(B793="", "", "mouse")</f>
        <v>0</v>
      </c>
      <c r="H793" s="1">
        <f>IF(B793="", "", "Mus musculus")</f>
        <v>0</v>
      </c>
      <c r="I793" s="1">
        <f>IF(B793="", "", "10090")</f>
        <v>0</v>
      </c>
      <c r="J793" s="2">
        <f>IF(B793="", "", "missing: not provided")</f>
        <v>0</v>
      </c>
      <c r="K793" s="1">
        <f>IF(B793="", "", "g")</f>
        <v>0</v>
      </c>
    </row>
    <row r="794" spans="1:11">
      <c r="A794">
        <f>IF(COUNTBLANK(B794:K794)&lt;&gt;COLUMNS(B794:K794),793,"")</f>
        <v>0</v>
      </c>
      <c r="C794" s="2">
        <f>IF(B794="", "", "missing: not provided")</f>
        <v>0</v>
      </c>
      <c r="D794" s="1">
        <f>IF(B794="", "", "weeks")</f>
        <v>0</v>
      </c>
      <c r="E794" s="1">
        <f>IF(B794="", "", "urban biome")</f>
        <v>0</v>
      </c>
      <c r="F794" s="1">
        <f>IF(B794="", "", "animal-associated habitat")</f>
        <v>0</v>
      </c>
      <c r="G794" s="1">
        <f>IF(B794="", "", "mouse")</f>
        <v>0</v>
      </c>
      <c r="H794" s="1">
        <f>IF(B794="", "", "Mus musculus")</f>
        <v>0</v>
      </c>
      <c r="I794" s="1">
        <f>IF(B794="", "", "10090")</f>
        <v>0</v>
      </c>
      <c r="J794" s="2">
        <f>IF(B794="", "", "missing: not provided")</f>
        <v>0</v>
      </c>
      <c r="K794" s="1">
        <f>IF(B794="", "", "g")</f>
        <v>0</v>
      </c>
    </row>
    <row r="795" spans="1:11">
      <c r="A795">
        <f>IF(COUNTBLANK(B795:K795)&lt;&gt;COLUMNS(B795:K795),794,"")</f>
        <v>0</v>
      </c>
      <c r="C795" s="2">
        <f>IF(B795="", "", "missing: not provided")</f>
        <v>0</v>
      </c>
      <c r="D795" s="1">
        <f>IF(B795="", "", "weeks")</f>
        <v>0</v>
      </c>
      <c r="E795" s="1">
        <f>IF(B795="", "", "urban biome")</f>
        <v>0</v>
      </c>
      <c r="F795" s="1">
        <f>IF(B795="", "", "animal-associated habitat")</f>
        <v>0</v>
      </c>
      <c r="G795" s="1">
        <f>IF(B795="", "", "mouse")</f>
        <v>0</v>
      </c>
      <c r="H795" s="1">
        <f>IF(B795="", "", "Mus musculus")</f>
        <v>0</v>
      </c>
      <c r="I795" s="1">
        <f>IF(B795="", "", "10090")</f>
        <v>0</v>
      </c>
      <c r="J795" s="2">
        <f>IF(B795="", "", "missing: not provided")</f>
        <v>0</v>
      </c>
      <c r="K795" s="1">
        <f>IF(B795="", "", "g")</f>
        <v>0</v>
      </c>
    </row>
    <row r="796" spans="1:11">
      <c r="A796">
        <f>IF(COUNTBLANK(B796:K796)&lt;&gt;COLUMNS(B796:K796),795,"")</f>
        <v>0</v>
      </c>
      <c r="C796" s="2">
        <f>IF(B796="", "", "missing: not provided")</f>
        <v>0</v>
      </c>
      <c r="D796" s="1">
        <f>IF(B796="", "", "weeks")</f>
        <v>0</v>
      </c>
      <c r="E796" s="1">
        <f>IF(B796="", "", "urban biome")</f>
        <v>0</v>
      </c>
      <c r="F796" s="1">
        <f>IF(B796="", "", "animal-associated habitat")</f>
        <v>0</v>
      </c>
      <c r="G796" s="1">
        <f>IF(B796="", "", "mouse")</f>
        <v>0</v>
      </c>
      <c r="H796" s="1">
        <f>IF(B796="", "", "Mus musculus")</f>
        <v>0</v>
      </c>
      <c r="I796" s="1">
        <f>IF(B796="", "", "10090")</f>
        <v>0</v>
      </c>
      <c r="J796" s="2">
        <f>IF(B796="", "", "missing: not provided")</f>
        <v>0</v>
      </c>
      <c r="K796" s="1">
        <f>IF(B796="", "", "g")</f>
        <v>0</v>
      </c>
    </row>
    <row r="797" spans="1:11">
      <c r="A797">
        <f>IF(COUNTBLANK(B797:K797)&lt;&gt;COLUMNS(B797:K797),796,"")</f>
        <v>0</v>
      </c>
      <c r="C797" s="2">
        <f>IF(B797="", "", "missing: not provided")</f>
        <v>0</v>
      </c>
      <c r="D797" s="1">
        <f>IF(B797="", "", "weeks")</f>
        <v>0</v>
      </c>
      <c r="E797" s="1">
        <f>IF(B797="", "", "urban biome")</f>
        <v>0</v>
      </c>
      <c r="F797" s="1">
        <f>IF(B797="", "", "animal-associated habitat")</f>
        <v>0</v>
      </c>
      <c r="G797" s="1">
        <f>IF(B797="", "", "mouse")</f>
        <v>0</v>
      </c>
      <c r="H797" s="1">
        <f>IF(B797="", "", "Mus musculus")</f>
        <v>0</v>
      </c>
      <c r="I797" s="1">
        <f>IF(B797="", "", "10090")</f>
        <v>0</v>
      </c>
      <c r="J797" s="2">
        <f>IF(B797="", "", "missing: not provided")</f>
        <v>0</v>
      </c>
      <c r="K797" s="1">
        <f>IF(B797="", "", "g")</f>
        <v>0</v>
      </c>
    </row>
    <row r="798" spans="1:11">
      <c r="A798">
        <f>IF(COUNTBLANK(B798:K798)&lt;&gt;COLUMNS(B798:K798),797,"")</f>
        <v>0</v>
      </c>
      <c r="C798" s="2">
        <f>IF(B798="", "", "missing: not provided")</f>
        <v>0</v>
      </c>
      <c r="D798" s="1">
        <f>IF(B798="", "", "weeks")</f>
        <v>0</v>
      </c>
      <c r="E798" s="1">
        <f>IF(B798="", "", "urban biome")</f>
        <v>0</v>
      </c>
      <c r="F798" s="1">
        <f>IF(B798="", "", "animal-associated habitat")</f>
        <v>0</v>
      </c>
      <c r="G798" s="1">
        <f>IF(B798="", "", "mouse")</f>
        <v>0</v>
      </c>
      <c r="H798" s="1">
        <f>IF(B798="", "", "Mus musculus")</f>
        <v>0</v>
      </c>
      <c r="I798" s="1">
        <f>IF(B798="", "", "10090")</f>
        <v>0</v>
      </c>
      <c r="J798" s="2">
        <f>IF(B798="", "", "missing: not provided")</f>
        <v>0</v>
      </c>
      <c r="K798" s="1">
        <f>IF(B798="", "", "g")</f>
        <v>0</v>
      </c>
    </row>
    <row r="799" spans="1:11">
      <c r="A799">
        <f>IF(COUNTBLANK(B799:K799)&lt;&gt;COLUMNS(B799:K799),798,"")</f>
        <v>0</v>
      </c>
      <c r="C799" s="2">
        <f>IF(B799="", "", "missing: not provided")</f>
        <v>0</v>
      </c>
      <c r="D799" s="1">
        <f>IF(B799="", "", "weeks")</f>
        <v>0</v>
      </c>
      <c r="E799" s="1">
        <f>IF(B799="", "", "urban biome")</f>
        <v>0</v>
      </c>
      <c r="F799" s="1">
        <f>IF(B799="", "", "animal-associated habitat")</f>
        <v>0</v>
      </c>
      <c r="G799" s="1">
        <f>IF(B799="", "", "mouse")</f>
        <v>0</v>
      </c>
      <c r="H799" s="1">
        <f>IF(B799="", "", "Mus musculus")</f>
        <v>0</v>
      </c>
      <c r="I799" s="1">
        <f>IF(B799="", "", "10090")</f>
        <v>0</v>
      </c>
      <c r="J799" s="2">
        <f>IF(B799="", "", "missing: not provided")</f>
        <v>0</v>
      </c>
      <c r="K799" s="1">
        <f>IF(B799="", "", "g")</f>
        <v>0</v>
      </c>
    </row>
    <row r="800" spans="1:11">
      <c r="A800">
        <f>IF(COUNTBLANK(B800:K800)&lt;&gt;COLUMNS(B800:K800),799,"")</f>
        <v>0</v>
      </c>
      <c r="C800" s="2">
        <f>IF(B800="", "", "missing: not provided")</f>
        <v>0</v>
      </c>
      <c r="D800" s="1">
        <f>IF(B800="", "", "weeks")</f>
        <v>0</v>
      </c>
      <c r="E800" s="1">
        <f>IF(B800="", "", "urban biome")</f>
        <v>0</v>
      </c>
      <c r="F800" s="1">
        <f>IF(B800="", "", "animal-associated habitat")</f>
        <v>0</v>
      </c>
      <c r="G800" s="1">
        <f>IF(B800="", "", "mouse")</f>
        <v>0</v>
      </c>
      <c r="H800" s="1">
        <f>IF(B800="", "", "Mus musculus")</f>
        <v>0</v>
      </c>
      <c r="I800" s="1">
        <f>IF(B800="", "", "10090")</f>
        <v>0</v>
      </c>
      <c r="J800" s="2">
        <f>IF(B800="", "", "missing: not provided")</f>
        <v>0</v>
      </c>
      <c r="K800" s="1">
        <f>IF(B800="", "", "g")</f>
        <v>0</v>
      </c>
    </row>
    <row r="801" spans="1:11">
      <c r="A801">
        <f>IF(COUNTBLANK(B801:K801)&lt;&gt;COLUMNS(B801:K801),800,"")</f>
        <v>0</v>
      </c>
      <c r="C801" s="2">
        <f>IF(B801="", "", "missing: not provided")</f>
        <v>0</v>
      </c>
      <c r="D801" s="1">
        <f>IF(B801="", "", "weeks")</f>
        <v>0</v>
      </c>
      <c r="E801" s="1">
        <f>IF(B801="", "", "urban biome")</f>
        <v>0</v>
      </c>
      <c r="F801" s="1">
        <f>IF(B801="", "", "animal-associated habitat")</f>
        <v>0</v>
      </c>
      <c r="G801" s="1">
        <f>IF(B801="", "", "mouse")</f>
        <v>0</v>
      </c>
      <c r="H801" s="1">
        <f>IF(B801="", "", "Mus musculus")</f>
        <v>0</v>
      </c>
      <c r="I801" s="1">
        <f>IF(B801="", "", "10090")</f>
        <v>0</v>
      </c>
      <c r="J801" s="2">
        <f>IF(B801="", "", "missing: not provided")</f>
        <v>0</v>
      </c>
      <c r="K801" s="1">
        <f>IF(B801="", "", "g")</f>
        <v>0</v>
      </c>
    </row>
    <row r="802" spans="1:11">
      <c r="A802">
        <f>IF(COUNTBLANK(B802:K802)&lt;&gt;COLUMNS(B802:K802),801,"")</f>
        <v>0</v>
      </c>
      <c r="C802" s="2">
        <f>IF(B802="", "", "missing: not provided")</f>
        <v>0</v>
      </c>
      <c r="D802" s="1">
        <f>IF(B802="", "", "weeks")</f>
        <v>0</v>
      </c>
      <c r="E802" s="1">
        <f>IF(B802="", "", "urban biome")</f>
        <v>0</v>
      </c>
      <c r="F802" s="1">
        <f>IF(B802="", "", "animal-associated habitat")</f>
        <v>0</v>
      </c>
      <c r="G802" s="1">
        <f>IF(B802="", "", "mouse")</f>
        <v>0</v>
      </c>
      <c r="H802" s="1">
        <f>IF(B802="", "", "Mus musculus")</f>
        <v>0</v>
      </c>
      <c r="I802" s="1">
        <f>IF(B802="", "", "10090")</f>
        <v>0</v>
      </c>
      <c r="J802" s="2">
        <f>IF(B802="", "", "missing: not provided")</f>
        <v>0</v>
      </c>
      <c r="K802" s="1">
        <f>IF(B802="", "", "g")</f>
        <v>0</v>
      </c>
    </row>
    <row r="803" spans="1:11">
      <c r="A803">
        <f>IF(COUNTBLANK(B803:K803)&lt;&gt;COLUMNS(B803:K803),802,"")</f>
        <v>0</v>
      </c>
      <c r="C803" s="2">
        <f>IF(B803="", "", "missing: not provided")</f>
        <v>0</v>
      </c>
      <c r="D803" s="1">
        <f>IF(B803="", "", "weeks")</f>
        <v>0</v>
      </c>
      <c r="E803" s="1">
        <f>IF(B803="", "", "urban biome")</f>
        <v>0</v>
      </c>
      <c r="F803" s="1">
        <f>IF(B803="", "", "animal-associated habitat")</f>
        <v>0</v>
      </c>
      <c r="G803" s="1">
        <f>IF(B803="", "", "mouse")</f>
        <v>0</v>
      </c>
      <c r="H803" s="1">
        <f>IF(B803="", "", "Mus musculus")</f>
        <v>0</v>
      </c>
      <c r="I803" s="1">
        <f>IF(B803="", "", "10090")</f>
        <v>0</v>
      </c>
      <c r="J803" s="2">
        <f>IF(B803="", "", "missing: not provided")</f>
        <v>0</v>
      </c>
      <c r="K803" s="1">
        <f>IF(B803="", "", "g")</f>
        <v>0</v>
      </c>
    </row>
    <row r="804" spans="1:11">
      <c r="A804">
        <f>IF(COUNTBLANK(B804:K804)&lt;&gt;COLUMNS(B804:K804),803,"")</f>
        <v>0</v>
      </c>
      <c r="C804" s="2">
        <f>IF(B804="", "", "missing: not provided")</f>
        <v>0</v>
      </c>
      <c r="D804" s="1">
        <f>IF(B804="", "", "weeks")</f>
        <v>0</v>
      </c>
      <c r="E804" s="1">
        <f>IF(B804="", "", "urban biome")</f>
        <v>0</v>
      </c>
      <c r="F804" s="1">
        <f>IF(B804="", "", "animal-associated habitat")</f>
        <v>0</v>
      </c>
      <c r="G804" s="1">
        <f>IF(B804="", "", "mouse")</f>
        <v>0</v>
      </c>
      <c r="H804" s="1">
        <f>IF(B804="", "", "Mus musculus")</f>
        <v>0</v>
      </c>
      <c r="I804" s="1">
        <f>IF(B804="", "", "10090")</f>
        <v>0</v>
      </c>
      <c r="J804" s="2">
        <f>IF(B804="", "", "missing: not provided")</f>
        <v>0</v>
      </c>
      <c r="K804" s="1">
        <f>IF(B804="", "", "g")</f>
        <v>0</v>
      </c>
    </row>
    <row r="805" spans="1:11">
      <c r="A805">
        <f>IF(COUNTBLANK(B805:K805)&lt;&gt;COLUMNS(B805:K805),804,"")</f>
        <v>0</v>
      </c>
      <c r="C805" s="2">
        <f>IF(B805="", "", "missing: not provided")</f>
        <v>0</v>
      </c>
      <c r="D805" s="1">
        <f>IF(B805="", "", "weeks")</f>
        <v>0</v>
      </c>
      <c r="E805" s="1">
        <f>IF(B805="", "", "urban biome")</f>
        <v>0</v>
      </c>
      <c r="F805" s="1">
        <f>IF(B805="", "", "animal-associated habitat")</f>
        <v>0</v>
      </c>
      <c r="G805" s="1">
        <f>IF(B805="", "", "mouse")</f>
        <v>0</v>
      </c>
      <c r="H805" s="1">
        <f>IF(B805="", "", "Mus musculus")</f>
        <v>0</v>
      </c>
      <c r="I805" s="1">
        <f>IF(B805="", "", "10090")</f>
        <v>0</v>
      </c>
      <c r="J805" s="2">
        <f>IF(B805="", "", "missing: not provided")</f>
        <v>0</v>
      </c>
      <c r="K805" s="1">
        <f>IF(B805="", "", "g")</f>
        <v>0</v>
      </c>
    </row>
    <row r="806" spans="1:11">
      <c r="A806">
        <f>IF(COUNTBLANK(B806:K806)&lt;&gt;COLUMNS(B806:K806),805,"")</f>
        <v>0</v>
      </c>
      <c r="C806" s="2">
        <f>IF(B806="", "", "missing: not provided")</f>
        <v>0</v>
      </c>
      <c r="D806" s="1">
        <f>IF(B806="", "", "weeks")</f>
        <v>0</v>
      </c>
      <c r="E806" s="1">
        <f>IF(B806="", "", "urban biome")</f>
        <v>0</v>
      </c>
      <c r="F806" s="1">
        <f>IF(B806="", "", "animal-associated habitat")</f>
        <v>0</v>
      </c>
      <c r="G806" s="1">
        <f>IF(B806="", "", "mouse")</f>
        <v>0</v>
      </c>
      <c r="H806" s="1">
        <f>IF(B806="", "", "Mus musculus")</f>
        <v>0</v>
      </c>
      <c r="I806" s="1">
        <f>IF(B806="", "", "10090")</f>
        <v>0</v>
      </c>
      <c r="J806" s="2">
        <f>IF(B806="", "", "missing: not provided")</f>
        <v>0</v>
      </c>
      <c r="K806" s="1">
        <f>IF(B806="", "", "g")</f>
        <v>0</v>
      </c>
    </row>
    <row r="807" spans="1:11">
      <c r="A807">
        <f>IF(COUNTBLANK(B807:K807)&lt;&gt;COLUMNS(B807:K807),806,"")</f>
        <v>0</v>
      </c>
      <c r="C807" s="2">
        <f>IF(B807="", "", "missing: not provided")</f>
        <v>0</v>
      </c>
      <c r="D807" s="1">
        <f>IF(B807="", "", "weeks")</f>
        <v>0</v>
      </c>
      <c r="E807" s="1">
        <f>IF(B807="", "", "urban biome")</f>
        <v>0</v>
      </c>
      <c r="F807" s="1">
        <f>IF(B807="", "", "animal-associated habitat")</f>
        <v>0</v>
      </c>
      <c r="G807" s="1">
        <f>IF(B807="", "", "mouse")</f>
        <v>0</v>
      </c>
      <c r="H807" s="1">
        <f>IF(B807="", "", "Mus musculus")</f>
        <v>0</v>
      </c>
      <c r="I807" s="1">
        <f>IF(B807="", "", "10090")</f>
        <v>0</v>
      </c>
      <c r="J807" s="2">
        <f>IF(B807="", "", "missing: not provided")</f>
        <v>0</v>
      </c>
      <c r="K807" s="1">
        <f>IF(B807="", "", "g")</f>
        <v>0</v>
      </c>
    </row>
    <row r="808" spans="1:11">
      <c r="A808">
        <f>IF(COUNTBLANK(B808:K808)&lt;&gt;COLUMNS(B808:K808),807,"")</f>
        <v>0</v>
      </c>
      <c r="C808" s="2">
        <f>IF(B808="", "", "missing: not provided")</f>
        <v>0</v>
      </c>
      <c r="D808" s="1">
        <f>IF(B808="", "", "weeks")</f>
        <v>0</v>
      </c>
      <c r="E808" s="1">
        <f>IF(B808="", "", "urban biome")</f>
        <v>0</v>
      </c>
      <c r="F808" s="1">
        <f>IF(B808="", "", "animal-associated habitat")</f>
        <v>0</v>
      </c>
      <c r="G808" s="1">
        <f>IF(B808="", "", "mouse")</f>
        <v>0</v>
      </c>
      <c r="H808" s="1">
        <f>IF(B808="", "", "Mus musculus")</f>
        <v>0</v>
      </c>
      <c r="I808" s="1">
        <f>IF(B808="", "", "10090")</f>
        <v>0</v>
      </c>
      <c r="J808" s="2">
        <f>IF(B808="", "", "missing: not provided")</f>
        <v>0</v>
      </c>
      <c r="K808" s="1">
        <f>IF(B808="", "", "g")</f>
        <v>0</v>
      </c>
    </row>
    <row r="809" spans="1:11">
      <c r="A809">
        <f>IF(COUNTBLANK(B809:K809)&lt;&gt;COLUMNS(B809:K809),808,"")</f>
        <v>0</v>
      </c>
      <c r="C809" s="2">
        <f>IF(B809="", "", "missing: not provided")</f>
        <v>0</v>
      </c>
      <c r="D809" s="1">
        <f>IF(B809="", "", "weeks")</f>
        <v>0</v>
      </c>
      <c r="E809" s="1">
        <f>IF(B809="", "", "urban biome")</f>
        <v>0</v>
      </c>
      <c r="F809" s="1">
        <f>IF(B809="", "", "animal-associated habitat")</f>
        <v>0</v>
      </c>
      <c r="G809" s="1">
        <f>IF(B809="", "", "mouse")</f>
        <v>0</v>
      </c>
      <c r="H809" s="1">
        <f>IF(B809="", "", "Mus musculus")</f>
        <v>0</v>
      </c>
      <c r="I809" s="1">
        <f>IF(B809="", "", "10090")</f>
        <v>0</v>
      </c>
      <c r="J809" s="2">
        <f>IF(B809="", "", "missing: not provided")</f>
        <v>0</v>
      </c>
      <c r="K809" s="1">
        <f>IF(B809="", "", "g")</f>
        <v>0</v>
      </c>
    </row>
    <row r="810" spans="1:11">
      <c r="A810">
        <f>IF(COUNTBLANK(B810:K810)&lt;&gt;COLUMNS(B810:K810),809,"")</f>
        <v>0</v>
      </c>
      <c r="C810" s="2">
        <f>IF(B810="", "", "missing: not provided")</f>
        <v>0</v>
      </c>
      <c r="D810" s="1">
        <f>IF(B810="", "", "weeks")</f>
        <v>0</v>
      </c>
      <c r="E810" s="1">
        <f>IF(B810="", "", "urban biome")</f>
        <v>0</v>
      </c>
      <c r="F810" s="1">
        <f>IF(B810="", "", "animal-associated habitat")</f>
        <v>0</v>
      </c>
      <c r="G810" s="1">
        <f>IF(B810="", "", "mouse")</f>
        <v>0</v>
      </c>
      <c r="H810" s="1">
        <f>IF(B810="", "", "Mus musculus")</f>
        <v>0</v>
      </c>
      <c r="I810" s="1">
        <f>IF(B810="", "", "10090")</f>
        <v>0</v>
      </c>
      <c r="J810" s="2">
        <f>IF(B810="", "", "missing: not provided")</f>
        <v>0</v>
      </c>
      <c r="K810" s="1">
        <f>IF(B810="", "", "g")</f>
        <v>0</v>
      </c>
    </row>
    <row r="811" spans="1:11">
      <c r="A811">
        <f>IF(COUNTBLANK(B811:K811)&lt;&gt;COLUMNS(B811:K811),810,"")</f>
        <v>0</v>
      </c>
      <c r="C811" s="2">
        <f>IF(B811="", "", "missing: not provided")</f>
        <v>0</v>
      </c>
      <c r="D811" s="1">
        <f>IF(B811="", "", "weeks")</f>
        <v>0</v>
      </c>
      <c r="E811" s="1">
        <f>IF(B811="", "", "urban biome")</f>
        <v>0</v>
      </c>
      <c r="F811" s="1">
        <f>IF(B811="", "", "animal-associated habitat")</f>
        <v>0</v>
      </c>
      <c r="G811" s="1">
        <f>IF(B811="", "", "mouse")</f>
        <v>0</v>
      </c>
      <c r="H811" s="1">
        <f>IF(B811="", "", "Mus musculus")</f>
        <v>0</v>
      </c>
      <c r="I811" s="1">
        <f>IF(B811="", "", "10090")</f>
        <v>0</v>
      </c>
      <c r="J811" s="2">
        <f>IF(B811="", "", "missing: not provided")</f>
        <v>0</v>
      </c>
      <c r="K811" s="1">
        <f>IF(B811="", "", "g")</f>
        <v>0</v>
      </c>
    </row>
    <row r="812" spans="1:11">
      <c r="A812">
        <f>IF(COUNTBLANK(B812:K812)&lt;&gt;COLUMNS(B812:K812),811,"")</f>
        <v>0</v>
      </c>
      <c r="C812" s="2">
        <f>IF(B812="", "", "missing: not provided")</f>
        <v>0</v>
      </c>
      <c r="D812" s="1">
        <f>IF(B812="", "", "weeks")</f>
        <v>0</v>
      </c>
      <c r="E812" s="1">
        <f>IF(B812="", "", "urban biome")</f>
        <v>0</v>
      </c>
      <c r="F812" s="1">
        <f>IF(B812="", "", "animal-associated habitat")</f>
        <v>0</v>
      </c>
      <c r="G812" s="1">
        <f>IF(B812="", "", "mouse")</f>
        <v>0</v>
      </c>
      <c r="H812" s="1">
        <f>IF(B812="", "", "Mus musculus")</f>
        <v>0</v>
      </c>
      <c r="I812" s="1">
        <f>IF(B812="", "", "10090")</f>
        <v>0</v>
      </c>
      <c r="J812" s="2">
        <f>IF(B812="", "", "missing: not provided")</f>
        <v>0</v>
      </c>
      <c r="K812" s="1">
        <f>IF(B812="", "", "g")</f>
        <v>0</v>
      </c>
    </row>
    <row r="813" spans="1:11">
      <c r="A813">
        <f>IF(COUNTBLANK(B813:K813)&lt;&gt;COLUMNS(B813:K813),812,"")</f>
        <v>0</v>
      </c>
      <c r="C813" s="2">
        <f>IF(B813="", "", "missing: not provided")</f>
        <v>0</v>
      </c>
      <c r="D813" s="1">
        <f>IF(B813="", "", "weeks")</f>
        <v>0</v>
      </c>
      <c r="E813" s="1">
        <f>IF(B813="", "", "urban biome")</f>
        <v>0</v>
      </c>
      <c r="F813" s="1">
        <f>IF(B813="", "", "animal-associated habitat")</f>
        <v>0</v>
      </c>
      <c r="G813" s="1">
        <f>IF(B813="", "", "mouse")</f>
        <v>0</v>
      </c>
      <c r="H813" s="1">
        <f>IF(B813="", "", "Mus musculus")</f>
        <v>0</v>
      </c>
      <c r="I813" s="1">
        <f>IF(B813="", "", "10090")</f>
        <v>0</v>
      </c>
      <c r="J813" s="2">
        <f>IF(B813="", "", "missing: not provided")</f>
        <v>0</v>
      </c>
      <c r="K813" s="1">
        <f>IF(B813="", "", "g")</f>
        <v>0</v>
      </c>
    </row>
    <row r="814" spans="1:11">
      <c r="A814">
        <f>IF(COUNTBLANK(B814:K814)&lt;&gt;COLUMNS(B814:K814),813,"")</f>
        <v>0</v>
      </c>
      <c r="C814" s="2">
        <f>IF(B814="", "", "missing: not provided")</f>
        <v>0</v>
      </c>
      <c r="D814" s="1">
        <f>IF(B814="", "", "weeks")</f>
        <v>0</v>
      </c>
      <c r="E814" s="1">
        <f>IF(B814="", "", "urban biome")</f>
        <v>0</v>
      </c>
      <c r="F814" s="1">
        <f>IF(B814="", "", "animal-associated habitat")</f>
        <v>0</v>
      </c>
      <c r="G814" s="1">
        <f>IF(B814="", "", "mouse")</f>
        <v>0</v>
      </c>
      <c r="H814" s="1">
        <f>IF(B814="", "", "Mus musculus")</f>
        <v>0</v>
      </c>
      <c r="I814" s="1">
        <f>IF(B814="", "", "10090")</f>
        <v>0</v>
      </c>
      <c r="J814" s="2">
        <f>IF(B814="", "", "missing: not provided")</f>
        <v>0</v>
      </c>
      <c r="K814" s="1">
        <f>IF(B814="", "", "g")</f>
        <v>0</v>
      </c>
    </row>
    <row r="815" spans="1:11">
      <c r="A815">
        <f>IF(COUNTBLANK(B815:K815)&lt;&gt;COLUMNS(B815:K815),814,"")</f>
        <v>0</v>
      </c>
      <c r="C815" s="2">
        <f>IF(B815="", "", "missing: not provided")</f>
        <v>0</v>
      </c>
      <c r="D815" s="1">
        <f>IF(B815="", "", "weeks")</f>
        <v>0</v>
      </c>
      <c r="E815" s="1">
        <f>IF(B815="", "", "urban biome")</f>
        <v>0</v>
      </c>
      <c r="F815" s="1">
        <f>IF(B815="", "", "animal-associated habitat")</f>
        <v>0</v>
      </c>
      <c r="G815" s="1">
        <f>IF(B815="", "", "mouse")</f>
        <v>0</v>
      </c>
      <c r="H815" s="1">
        <f>IF(B815="", "", "Mus musculus")</f>
        <v>0</v>
      </c>
      <c r="I815" s="1">
        <f>IF(B815="", "", "10090")</f>
        <v>0</v>
      </c>
      <c r="J815" s="2">
        <f>IF(B815="", "", "missing: not provided")</f>
        <v>0</v>
      </c>
      <c r="K815" s="1">
        <f>IF(B815="", "", "g")</f>
        <v>0</v>
      </c>
    </row>
    <row r="816" spans="1:11">
      <c r="A816">
        <f>IF(COUNTBLANK(B816:K816)&lt;&gt;COLUMNS(B816:K816),815,"")</f>
        <v>0</v>
      </c>
      <c r="C816" s="2">
        <f>IF(B816="", "", "missing: not provided")</f>
        <v>0</v>
      </c>
      <c r="D816" s="1">
        <f>IF(B816="", "", "weeks")</f>
        <v>0</v>
      </c>
      <c r="E816" s="1">
        <f>IF(B816="", "", "urban biome")</f>
        <v>0</v>
      </c>
      <c r="F816" s="1">
        <f>IF(B816="", "", "animal-associated habitat")</f>
        <v>0</v>
      </c>
      <c r="G816" s="1">
        <f>IF(B816="", "", "mouse")</f>
        <v>0</v>
      </c>
      <c r="H816" s="1">
        <f>IF(B816="", "", "Mus musculus")</f>
        <v>0</v>
      </c>
      <c r="I816" s="1">
        <f>IF(B816="", "", "10090")</f>
        <v>0</v>
      </c>
      <c r="J816" s="2">
        <f>IF(B816="", "", "missing: not provided")</f>
        <v>0</v>
      </c>
      <c r="K816" s="1">
        <f>IF(B816="", "", "g")</f>
        <v>0</v>
      </c>
    </row>
    <row r="817" spans="1:11">
      <c r="A817">
        <f>IF(COUNTBLANK(B817:K817)&lt;&gt;COLUMNS(B817:K817),816,"")</f>
        <v>0</v>
      </c>
      <c r="C817" s="2">
        <f>IF(B817="", "", "missing: not provided")</f>
        <v>0</v>
      </c>
      <c r="D817" s="1">
        <f>IF(B817="", "", "weeks")</f>
        <v>0</v>
      </c>
      <c r="E817" s="1">
        <f>IF(B817="", "", "urban biome")</f>
        <v>0</v>
      </c>
      <c r="F817" s="1">
        <f>IF(B817="", "", "animal-associated habitat")</f>
        <v>0</v>
      </c>
      <c r="G817" s="1">
        <f>IF(B817="", "", "mouse")</f>
        <v>0</v>
      </c>
      <c r="H817" s="1">
        <f>IF(B817="", "", "Mus musculus")</f>
        <v>0</v>
      </c>
      <c r="I817" s="1">
        <f>IF(B817="", "", "10090")</f>
        <v>0</v>
      </c>
      <c r="J817" s="2">
        <f>IF(B817="", "", "missing: not provided")</f>
        <v>0</v>
      </c>
      <c r="K817" s="1">
        <f>IF(B817="", "", "g")</f>
        <v>0</v>
      </c>
    </row>
    <row r="818" spans="1:11">
      <c r="A818">
        <f>IF(COUNTBLANK(B818:K818)&lt;&gt;COLUMNS(B818:K818),817,"")</f>
        <v>0</v>
      </c>
      <c r="C818" s="2">
        <f>IF(B818="", "", "missing: not provided")</f>
        <v>0</v>
      </c>
      <c r="D818" s="1">
        <f>IF(B818="", "", "weeks")</f>
        <v>0</v>
      </c>
      <c r="E818" s="1">
        <f>IF(B818="", "", "urban biome")</f>
        <v>0</v>
      </c>
      <c r="F818" s="1">
        <f>IF(B818="", "", "animal-associated habitat")</f>
        <v>0</v>
      </c>
      <c r="G818" s="1">
        <f>IF(B818="", "", "mouse")</f>
        <v>0</v>
      </c>
      <c r="H818" s="1">
        <f>IF(B818="", "", "Mus musculus")</f>
        <v>0</v>
      </c>
      <c r="I818" s="1">
        <f>IF(B818="", "", "10090")</f>
        <v>0</v>
      </c>
      <c r="J818" s="2">
        <f>IF(B818="", "", "missing: not provided")</f>
        <v>0</v>
      </c>
      <c r="K818" s="1">
        <f>IF(B818="", "", "g")</f>
        <v>0</v>
      </c>
    </row>
    <row r="819" spans="1:11">
      <c r="A819">
        <f>IF(COUNTBLANK(B819:K819)&lt;&gt;COLUMNS(B819:K819),818,"")</f>
        <v>0</v>
      </c>
      <c r="C819" s="2">
        <f>IF(B819="", "", "missing: not provided")</f>
        <v>0</v>
      </c>
      <c r="D819" s="1">
        <f>IF(B819="", "", "weeks")</f>
        <v>0</v>
      </c>
      <c r="E819" s="1">
        <f>IF(B819="", "", "urban biome")</f>
        <v>0</v>
      </c>
      <c r="F819" s="1">
        <f>IF(B819="", "", "animal-associated habitat")</f>
        <v>0</v>
      </c>
      <c r="G819" s="1">
        <f>IF(B819="", "", "mouse")</f>
        <v>0</v>
      </c>
      <c r="H819" s="1">
        <f>IF(B819="", "", "Mus musculus")</f>
        <v>0</v>
      </c>
      <c r="I819" s="1">
        <f>IF(B819="", "", "10090")</f>
        <v>0</v>
      </c>
      <c r="J819" s="2">
        <f>IF(B819="", "", "missing: not provided")</f>
        <v>0</v>
      </c>
      <c r="K819" s="1">
        <f>IF(B819="", "", "g")</f>
        <v>0</v>
      </c>
    </row>
    <row r="820" spans="1:11">
      <c r="A820">
        <f>IF(COUNTBLANK(B820:K820)&lt;&gt;COLUMNS(B820:K820),819,"")</f>
        <v>0</v>
      </c>
      <c r="C820" s="2">
        <f>IF(B820="", "", "missing: not provided")</f>
        <v>0</v>
      </c>
      <c r="D820" s="1">
        <f>IF(B820="", "", "weeks")</f>
        <v>0</v>
      </c>
      <c r="E820" s="1">
        <f>IF(B820="", "", "urban biome")</f>
        <v>0</v>
      </c>
      <c r="F820" s="1">
        <f>IF(B820="", "", "animal-associated habitat")</f>
        <v>0</v>
      </c>
      <c r="G820" s="1">
        <f>IF(B820="", "", "mouse")</f>
        <v>0</v>
      </c>
      <c r="H820" s="1">
        <f>IF(B820="", "", "Mus musculus")</f>
        <v>0</v>
      </c>
      <c r="I820" s="1">
        <f>IF(B820="", "", "10090")</f>
        <v>0</v>
      </c>
      <c r="J820" s="2">
        <f>IF(B820="", "", "missing: not provided")</f>
        <v>0</v>
      </c>
      <c r="K820" s="1">
        <f>IF(B820="", "", "g")</f>
        <v>0</v>
      </c>
    </row>
    <row r="821" spans="1:11">
      <c r="A821">
        <f>IF(COUNTBLANK(B821:K821)&lt;&gt;COLUMNS(B821:K821),820,"")</f>
        <v>0</v>
      </c>
      <c r="C821" s="2">
        <f>IF(B821="", "", "missing: not provided")</f>
        <v>0</v>
      </c>
      <c r="D821" s="1">
        <f>IF(B821="", "", "weeks")</f>
        <v>0</v>
      </c>
      <c r="E821" s="1">
        <f>IF(B821="", "", "urban biome")</f>
        <v>0</v>
      </c>
      <c r="F821" s="1">
        <f>IF(B821="", "", "animal-associated habitat")</f>
        <v>0</v>
      </c>
      <c r="G821" s="1">
        <f>IF(B821="", "", "mouse")</f>
        <v>0</v>
      </c>
      <c r="H821" s="1">
        <f>IF(B821="", "", "Mus musculus")</f>
        <v>0</v>
      </c>
      <c r="I821" s="1">
        <f>IF(B821="", "", "10090")</f>
        <v>0</v>
      </c>
      <c r="J821" s="2">
        <f>IF(B821="", "", "missing: not provided")</f>
        <v>0</v>
      </c>
      <c r="K821" s="1">
        <f>IF(B821="", "", "g")</f>
        <v>0</v>
      </c>
    </row>
    <row r="822" spans="1:11">
      <c r="A822">
        <f>IF(COUNTBLANK(B822:K822)&lt;&gt;COLUMNS(B822:K822),821,"")</f>
        <v>0</v>
      </c>
      <c r="C822" s="2">
        <f>IF(B822="", "", "missing: not provided")</f>
        <v>0</v>
      </c>
      <c r="D822" s="1">
        <f>IF(B822="", "", "weeks")</f>
        <v>0</v>
      </c>
      <c r="E822" s="1">
        <f>IF(B822="", "", "urban biome")</f>
        <v>0</v>
      </c>
      <c r="F822" s="1">
        <f>IF(B822="", "", "animal-associated habitat")</f>
        <v>0</v>
      </c>
      <c r="G822" s="1">
        <f>IF(B822="", "", "mouse")</f>
        <v>0</v>
      </c>
      <c r="H822" s="1">
        <f>IF(B822="", "", "Mus musculus")</f>
        <v>0</v>
      </c>
      <c r="I822" s="1">
        <f>IF(B822="", "", "10090")</f>
        <v>0</v>
      </c>
      <c r="J822" s="2">
        <f>IF(B822="", "", "missing: not provided")</f>
        <v>0</v>
      </c>
      <c r="K822" s="1">
        <f>IF(B822="", "", "g")</f>
        <v>0</v>
      </c>
    </row>
    <row r="823" spans="1:11">
      <c r="A823">
        <f>IF(COUNTBLANK(B823:K823)&lt;&gt;COLUMNS(B823:K823),822,"")</f>
        <v>0</v>
      </c>
      <c r="C823" s="2">
        <f>IF(B823="", "", "missing: not provided")</f>
        <v>0</v>
      </c>
      <c r="D823" s="1">
        <f>IF(B823="", "", "weeks")</f>
        <v>0</v>
      </c>
      <c r="E823" s="1">
        <f>IF(B823="", "", "urban biome")</f>
        <v>0</v>
      </c>
      <c r="F823" s="1">
        <f>IF(B823="", "", "animal-associated habitat")</f>
        <v>0</v>
      </c>
      <c r="G823" s="1">
        <f>IF(B823="", "", "mouse")</f>
        <v>0</v>
      </c>
      <c r="H823" s="1">
        <f>IF(B823="", "", "Mus musculus")</f>
        <v>0</v>
      </c>
      <c r="I823" s="1">
        <f>IF(B823="", "", "10090")</f>
        <v>0</v>
      </c>
      <c r="J823" s="2">
        <f>IF(B823="", "", "missing: not provided")</f>
        <v>0</v>
      </c>
      <c r="K823" s="1">
        <f>IF(B823="", "", "g")</f>
        <v>0</v>
      </c>
    </row>
    <row r="824" spans="1:11">
      <c r="A824">
        <f>IF(COUNTBLANK(B824:K824)&lt;&gt;COLUMNS(B824:K824),823,"")</f>
        <v>0</v>
      </c>
      <c r="C824" s="2">
        <f>IF(B824="", "", "missing: not provided")</f>
        <v>0</v>
      </c>
      <c r="D824" s="1">
        <f>IF(B824="", "", "weeks")</f>
        <v>0</v>
      </c>
      <c r="E824" s="1">
        <f>IF(B824="", "", "urban biome")</f>
        <v>0</v>
      </c>
      <c r="F824" s="1">
        <f>IF(B824="", "", "animal-associated habitat")</f>
        <v>0</v>
      </c>
      <c r="G824" s="1">
        <f>IF(B824="", "", "mouse")</f>
        <v>0</v>
      </c>
      <c r="H824" s="1">
        <f>IF(B824="", "", "Mus musculus")</f>
        <v>0</v>
      </c>
      <c r="I824" s="1">
        <f>IF(B824="", "", "10090")</f>
        <v>0</v>
      </c>
      <c r="J824" s="2">
        <f>IF(B824="", "", "missing: not provided")</f>
        <v>0</v>
      </c>
      <c r="K824" s="1">
        <f>IF(B824="", "", "g")</f>
        <v>0</v>
      </c>
    </row>
    <row r="825" spans="1:11">
      <c r="A825">
        <f>IF(COUNTBLANK(B825:K825)&lt;&gt;COLUMNS(B825:K825),824,"")</f>
        <v>0</v>
      </c>
      <c r="C825" s="2">
        <f>IF(B825="", "", "missing: not provided")</f>
        <v>0</v>
      </c>
      <c r="D825" s="1">
        <f>IF(B825="", "", "weeks")</f>
        <v>0</v>
      </c>
      <c r="E825" s="1">
        <f>IF(B825="", "", "urban biome")</f>
        <v>0</v>
      </c>
      <c r="F825" s="1">
        <f>IF(B825="", "", "animal-associated habitat")</f>
        <v>0</v>
      </c>
      <c r="G825" s="1">
        <f>IF(B825="", "", "mouse")</f>
        <v>0</v>
      </c>
      <c r="H825" s="1">
        <f>IF(B825="", "", "Mus musculus")</f>
        <v>0</v>
      </c>
      <c r="I825" s="1">
        <f>IF(B825="", "", "10090")</f>
        <v>0</v>
      </c>
      <c r="J825" s="2">
        <f>IF(B825="", "", "missing: not provided")</f>
        <v>0</v>
      </c>
      <c r="K825" s="1">
        <f>IF(B825="", "", "g")</f>
        <v>0</v>
      </c>
    </row>
    <row r="826" spans="1:11">
      <c r="A826">
        <f>IF(COUNTBLANK(B826:K826)&lt;&gt;COLUMNS(B826:K826),825,"")</f>
        <v>0</v>
      </c>
      <c r="C826" s="2">
        <f>IF(B826="", "", "missing: not provided")</f>
        <v>0</v>
      </c>
      <c r="D826" s="1">
        <f>IF(B826="", "", "weeks")</f>
        <v>0</v>
      </c>
      <c r="E826" s="1">
        <f>IF(B826="", "", "urban biome")</f>
        <v>0</v>
      </c>
      <c r="F826" s="1">
        <f>IF(B826="", "", "animal-associated habitat")</f>
        <v>0</v>
      </c>
      <c r="G826" s="1">
        <f>IF(B826="", "", "mouse")</f>
        <v>0</v>
      </c>
      <c r="H826" s="1">
        <f>IF(B826="", "", "Mus musculus")</f>
        <v>0</v>
      </c>
      <c r="I826" s="1">
        <f>IF(B826="", "", "10090")</f>
        <v>0</v>
      </c>
      <c r="J826" s="2">
        <f>IF(B826="", "", "missing: not provided")</f>
        <v>0</v>
      </c>
      <c r="K826" s="1">
        <f>IF(B826="", "", "g")</f>
        <v>0</v>
      </c>
    </row>
    <row r="827" spans="1:11">
      <c r="A827">
        <f>IF(COUNTBLANK(B827:K827)&lt;&gt;COLUMNS(B827:K827),826,"")</f>
        <v>0</v>
      </c>
      <c r="C827" s="2">
        <f>IF(B827="", "", "missing: not provided")</f>
        <v>0</v>
      </c>
      <c r="D827" s="1">
        <f>IF(B827="", "", "weeks")</f>
        <v>0</v>
      </c>
      <c r="E827" s="1">
        <f>IF(B827="", "", "urban biome")</f>
        <v>0</v>
      </c>
      <c r="F827" s="1">
        <f>IF(B827="", "", "animal-associated habitat")</f>
        <v>0</v>
      </c>
      <c r="G827" s="1">
        <f>IF(B827="", "", "mouse")</f>
        <v>0</v>
      </c>
      <c r="H827" s="1">
        <f>IF(B827="", "", "Mus musculus")</f>
        <v>0</v>
      </c>
      <c r="I827" s="1">
        <f>IF(B827="", "", "10090")</f>
        <v>0</v>
      </c>
      <c r="J827" s="2">
        <f>IF(B827="", "", "missing: not provided")</f>
        <v>0</v>
      </c>
      <c r="K827" s="1">
        <f>IF(B827="", "", "g")</f>
        <v>0</v>
      </c>
    </row>
    <row r="828" spans="1:11">
      <c r="A828">
        <f>IF(COUNTBLANK(B828:K828)&lt;&gt;COLUMNS(B828:K828),827,"")</f>
        <v>0</v>
      </c>
      <c r="C828" s="2">
        <f>IF(B828="", "", "missing: not provided")</f>
        <v>0</v>
      </c>
      <c r="D828" s="1">
        <f>IF(B828="", "", "weeks")</f>
        <v>0</v>
      </c>
      <c r="E828" s="1">
        <f>IF(B828="", "", "urban biome")</f>
        <v>0</v>
      </c>
      <c r="F828" s="1">
        <f>IF(B828="", "", "animal-associated habitat")</f>
        <v>0</v>
      </c>
      <c r="G828" s="1">
        <f>IF(B828="", "", "mouse")</f>
        <v>0</v>
      </c>
      <c r="H828" s="1">
        <f>IF(B828="", "", "Mus musculus")</f>
        <v>0</v>
      </c>
      <c r="I828" s="1">
        <f>IF(B828="", "", "10090")</f>
        <v>0</v>
      </c>
      <c r="J828" s="2">
        <f>IF(B828="", "", "missing: not provided")</f>
        <v>0</v>
      </c>
      <c r="K828" s="1">
        <f>IF(B828="", "", "g")</f>
        <v>0</v>
      </c>
    </row>
    <row r="829" spans="1:11">
      <c r="A829">
        <f>IF(COUNTBLANK(B829:K829)&lt;&gt;COLUMNS(B829:K829),828,"")</f>
        <v>0</v>
      </c>
      <c r="C829" s="2">
        <f>IF(B829="", "", "missing: not provided")</f>
        <v>0</v>
      </c>
      <c r="D829" s="1">
        <f>IF(B829="", "", "weeks")</f>
        <v>0</v>
      </c>
      <c r="E829" s="1">
        <f>IF(B829="", "", "urban biome")</f>
        <v>0</v>
      </c>
      <c r="F829" s="1">
        <f>IF(B829="", "", "animal-associated habitat")</f>
        <v>0</v>
      </c>
      <c r="G829" s="1">
        <f>IF(B829="", "", "mouse")</f>
        <v>0</v>
      </c>
      <c r="H829" s="1">
        <f>IF(B829="", "", "Mus musculus")</f>
        <v>0</v>
      </c>
      <c r="I829" s="1">
        <f>IF(B829="", "", "10090")</f>
        <v>0</v>
      </c>
      <c r="J829" s="2">
        <f>IF(B829="", "", "missing: not provided")</f>
        <v>0</v>
      </c>
      <c r="K829" s="1">
        <f>IF(B829="", "", "g")</f>
        <v>0</v>
      </c>
    </row>
    <row r="830" spans="1:11">
      <c r="A830">
        <f>IF(COUNTBLANK(B830:K830)&lt;&gt;COLUMNS(B830:K830),829,"")</f>
        <v>0</v>
      </c>
      <c r="C830" s="2">
        <f>IF(B830="", "", "missing: not provided")</f>
        <v>0</v>
      </c>
      <c r="D830" s="1">
        <f>IF(B830="", "", "weeks")</f>
        <v>0</v>
      </c>
      <c r="E830" s="1">
        <f>IF(B830="", "", "urban biome")</f>
        <v>0</v>
      </c>
      <c r="F830" s="1">
        <f>IF(B830="", "", "animal-associated habitat")</f>
        <v>0</v>
      </c>
      <c r="G830" s="1">
        <f>IF(B830="", "", "mouse")</f>
        <v>0</v>
      </c>
      <c r="H830" s="1">
        <f>IF(B830="", "", "Mus musculus")</f>
        <v>0</v>
      </c>
      <c r="I830" s="1">
        <f>IF(B830="", "", "10090")</f>
        <v>0</v>
      </c>
      <c r="J830" s="2">
        <f>IF(B830="", "", "missing: not provided")</f>
        <v>0</v>
      </c>
      <c r="K830" s="1">
        <f>IF(B830="", "", "g")</f>
        <v>0</v>
      </c>
    </row>
    <row r="831" spans="1:11">
      <c r="A831">
        <f>IF(COUNTBLANK(B831:K831)&lt;&gt;COLUMNS(B831:K831),830,"")</f>
        <v>0</v>
      </c>
      <c r="C831" s="2">
        <f>IF(B831="", "", "missing: not provided")</f>
        <v>0</v>
      </c>
      <c r="D831" s="1">
        <f>IF(B831="", "", "weeks")</f>
        <v>0</v>
      </c>
      <c r="E831" s="1">
        <f>IF(B831="", "", "urban biome")</f>
        <v>0</v>
      </c>
      <c r="F831" s="1">
        <f>IF(B831="", "", "animal-associated habitat")</f>
        <v>0</v>
      </c>
      <c r="G831" s="1">
        <f>IF(B831="", "", "mouse")</f>
        <v>0</v>
      </c>
      <c r="H831" s="1">
        <f>IF(B831="", "", "Mus musculus")</f>
        <v>0</v>
      </c>
      <c r="I831" s="1">
        <f>IF(B831="", "", "10090")</f>
        <v>0</v>
      </c>
      <c r="J831" s="2">
        <f>IF(B831="", "", "missing: not provided")</f>
        <v>0</v>
      </c>
      <c r="K831" s="1">
        <f>IF(B831="", "", "g")</f>
        <v>0</v>
      </c>
    </row>
    <row r="832" spans="1:11">
      <c r="A832">
        <f>IF(COUNTBLANK(B832:K832)&lt;&gt;COLUMNS(B832:K832),831,"")</f>
        <v>0</v>
      </c>
      <c r="C832" s="2">
        <f>IF(B832="", "", "missing: not provided")</f>
        <v>0</v>
      </c>
      <c r="D832" s="1">
        <f>IF(B832="", "", "weeks")</f>
        <v>0</v>
      </c>
      <c r="E832" s="1">
        <f>IF(B832="", "", "urban biome")</f>
        <v>0</v>
      </c>
      <c r="F832" s="1">
        <f>IF(B832="", "", "animal-associated habitat")</f>
        <v>0</v>
      </c>
      <c r="G832" s="1">
        <f>IF(B832="", "", "mouse")</f>
        <v>0</v>
      </c>
      <c r="H832" s="1">
        <f>IF(B832="", "", "Mus musculus")</f>
        <v>0</v>
      </c>
      <c r="I832" s="1">
        <f>IF(B832="", "", "10090")</f>
        <v>0</v>
      </c>
      <c r="J832" s="2">
        <f>IF(B832="", "", "missing: not provided")</f>
        <v>0</v>
      </c>
      <c r="K832" s="1">
        <f>IF(B832="", "", "g")</f>
        <v>0</v>
      </c>
    </row>
    <row r="833" spans="1:11">
      <c r="A833">
        <f>IF(COUNTBLANK(B833:K833)&lt;&gt;COLUMNS(B833:K833),832,"")</f>
        <v>0</v>
      </c>
      <c r="C833" s="2">
        <f>IF(B833="", "", "missing: not provided")</f>
        <v>0</v>
      </c>
      <c r="D833" s="1">
        <f>IF(B833="", "", "weeks")</f>
        <v>0</v>
      </c>
      <c r="E833" s="1">
        <f>IF(B833="", "", "urban biome")</f>
        <v>0</v>
      </c>
      <c r="F833" s="1">
        <f>IF(B833="", "", "animal-associated habitat")</f>
        <v>0</v>
      </c>
      <c r="G833" s="1">
        <f>IF(B833="", "", "mouse")</f>
        <v>0</v>
      </c>
      <c r="H833" s="1">
        <f>IF(B833="", "", "Mus musculus")</f>
        <v>0</v>
      </c>
      <c r="I833" s="1">
        <f>IF(B833="", "", "10090")</f>
        <v>0</v>
      </c>
      <c r="J833" s="2">
        <f>IF(B833="", "", "missing: not provided")</f>
        <v>0</v>
      </c>
      <c r="K833" s="1">
        <f>IF(B833="", "", "g")</f>
        <v>0</v>
      </c>
    </row>
    <row r="834" spans="1:11">
      <c r="A834">
        <f>IF(COUNTBLANK(B834:K834)&lt;&gt;COLUMNS(B834:K834),833,"")</f>
        <v>0</v>
      </c>
      <c r="C834" s="2">
        <f>IF(B834="", "", "missing: not provided")</f>
        <v>0</v>
      </c>
      <c r="D834" s="1">
        <f>IF(B834="", "", "weeks")</f>
        <v>0</v>
      </c>
      <c r="E834" s="1">
        <f>IF(B834="", "", "urban biome")</f>
        <v>0</v>
      </c>
      <c r="F834" s="1">
        <f>IF(B834="", "", "animal-associated habitat")</f>
        <v>0</v>
      </c>
      <c r="G834" s="1">
        <f>IF(B834="", "", "mouse")</f>
        <v>0</v>
      </c>
      <c r="H834" s="1">
        <f>IF(B834="", "", "Mus musculus")</f>
        <v>0</v>
      </c>
      <c r="I834" s="1">
        <f>IF(B834="", "", "10090")</f>
        <v>0</v>
      </c>
      <c r="J834" s="2">
        <f>IF(B834="", "", "missing: not provided")</f>
        <v>0</v>
      </c>
      <c r="K834" s="1">
        <f>IF(B834="", "", "g")</f>
        <v>0</v>
      </c>
    </row>
    <row r="835" spans="1:11">
      <c r="A835">
        <f>IF(COUNTBLANK(B835:K835)&lt;&gt;COLUMNS(B835:K835),834,"")</f>
        <v>0</v>
      </c>
      <c r="C835" s="2">
        <f>IF(B835="", "", "missing: not provided")</f>
        <v>0</v>
      </c>
      <c r="D835" s="1">
        <f>IF(B835="", "", "weeks")</f>
        <v>0</v>
      </c>
      <c r="E835" s="1">
        <f>IF(B835="", "", "urban biome")</f>
        <v>0</v>
      </c>
      <c r="F835" s="1">
        <f>IF(B835="", "", "animal-associated habitat")</f>
        <v>0</v>
      </c>
      <c r="G835" s="1">
        <f>IF(B835="", "", "mouse")</f>
        <v>0</v>
      </c>
      <c r="H835" s="1">
        <f>IF(B835="", "", "Mus musculus")</f>
        <v>0</v>
      </c>
      <c r="I835" s="1">
        <f>IF(B835="", "", "10090")</f>
        <v>0</v>
      </c>
      <c r="J835" s="2">
        <f>IF(B835="", "", "missing: not provided")</f>
        <v>0</v>
      </c>
      <c r="K835" s="1">
        <f>IF(B835="", "", "g")</f>
        <v>0</v>
      </c>
    </row>
    <row r="836" spans="1:11">
      <c r="A836">
        <f>IF(COUNTBLANK(B836:K836)&lt;&gt;COLUMNS(B836:K836),835,"")</f>
        <v>0</v>
      </c>
      <c r="C836" s="2">
        <f>IF(B836="", "", "missing: not provided")</f>
        <v>0</v>
      </c>
      <c r="D836" s="1">
        <f>IF(B836="", "", "weeks")</f>
        <v>0</v>
      </c>
      <c r="E836" s="1">
        <f>IF(B836="", "", "urban biome")</f>
        <v>0</v>
      </c>
      <c r="F836" s="1">
        <f>IF(B836="", "", "animal-associated habitat")</f>
        <v>0</v>
      </c>
      <c r="G836" s="1">
        <f>IF(B836="", "", "mouse")</f>
        <v>0</v>
      </c>
      <c r="H836" s="1">
        <f>IF(B836="", "", "Mus musculus")</f>
        <v>0</v>
      </c>
      <c r="I836" s="1">
        <f>IF(B836="", "", "10090")</f>
        <v>0</v>
      </c>
      <c r="J836" s="2">
        <f>IF(B836="", "", "missing: not provided")</f>
        <v>0</v>
      </c>
      <c r="K836" s="1">
        <f>IF(B836="", "", "g")</f>
        <v>0</v>
      </c>
    </row>
    <row r="837" spans="1:11">
      <c r="A837">
        <f>IF(COUNTBLANK(B837:K837)&lt;&gt;COLUMNS(B837:K837),836,"")</f>
        <v>0</v>
      </c>
      <c r="C837" s="2">
        <f>IF(B837="", "", "missing: not provided")</f>
        <v>0</v>
      </c>
      <c r="D837" s="1">
        <f>IF(B837="", "", "weeks")</f>
        <v>0</v>
      </c>
      <c r="E837" s="1">
        <f>IF(B837="", "", "urban biome")</f>
        <v>0</v>
      </c>
      <c r="F837" s="1">
        <f>IF(B837="", "", "animal-associated habitat")</f>
        <v>0</v>
      </c>
      <c r="G837" s="1">
        <f>IF(B837="", "", "mouse")</f>
        <v>0</v>
      </c>
      <c r="H837" s="1">
        <f>IF(B837="", "", "Mus musculus")</f>
        <v>0</v>
      </c>
      <c r="I837" s="1">
        <f>IF(B837="", "", "10090")</f>
        <v>0</v>
      </c>
      <c r="J837" s="2">
        <f>IF(B837="", "", "missing: not provided")</f>
        <v>0</v>
      </c>
      <c r="K837" s="1">
        <f>IF(B837="", "", "g")</f>
        <v>0</v>
      </c>
    </row>
    <row r="838" spans="1:11">
      <c r="A838">
        <f>IF(COUNTBLANK(B838:K838)&lt;&gt;COLUMNS(B838:K838),837,"")</f>
        <v>0</v>
      </c>
      <c r="C838" s="2">
        <f>IF(B838="", "", "missing: not provided")</f>
        <v>0</v>
      </c>
      <c r="D838" s="1">
        <f>IF(B838="", "", "weeks")</f>
        <v>0</v>
      </c>
      <c r="E838" s="1">
        <f>IF(B838="", "", "urban biome")</f>
        <v>0</v>
      </c>
      <c r="F838" s="1">
        <f>IF(B838="", "", "animal-associated habitat")</f>
        <v>0</v>
      </c>
      <c r="G838" s="1">
        <f>IF(B838="", "", "mouse")</f>
        <v>0</v>
      </c>
      <c r="H838" s="1">
        <f>IF(B838="", "", "Mus musculus")</f>
        <v>0</v>
      </c>
      <c r="I838" s="1">
        <f>IF(B838="", "", "10090")</f>
        <v>0</v>
      </c>
      <c r="J838" s="2">
        <f>IF(B838="", "", "missing: not provided")</f>
        <v>0</v>
      </c>
      <c r="K838" s="1">
        <f>IF(B838="", "", "g")</f>
        <v>0</v>
      </c>
    </row>
    <row r="839" spans="1:11">
      <c r="A839">
        <f>IF(COUNTBLANK(B839:K839)&lt;&gt;COLUMNS(B839:K839),838,"")</f>
        <v>0</v>
      </c>
      <c r="C839" s="2">
        <f>IF(B839="", "", "missing: not provided")</f>
        <v>0</v>
      </c>
      <c r="D839" s="1">
        <f>IF(B839="", "", "weeks")</f>
        <v>0</v>
      </c>
      <c r="E839" s="1">
        <f>IF(B839="", "", "urban biome")</f>
        <v>0</v>
      </c>
      <c r="F839" s="1">
        <f>IF(B839="", "", "animal-associated habitat")</f>
        <v>0</v>
      </c>
      <c r="G839" s="1">
        <f>IF(B839="", "", "mouse")</f>
        <v>0</v>
      </c>
      <c r="H839" s="1">
        <f>IF(B839="", "", "Mus musculus")</f>
        <v>0</v>
      </c>
      <c r="I839" s="1">
        <f>IF(B839="", "", "10090")</f>
        <v>0</v>
      </c>
      <c r="J839" s="2">
        <f>IF(B839="", "", "missing: not provided")</f>
        <v>0</v>
      </c>
      <c r="K839" s="1">
        <f>IF(B839="", "", "g")</f>
        <v>0</v>
      </c>
    </row>
    <row r="840" spans="1:11">
      <c r="A840">
        <f>IF(COUNTBLANK(B840:K840)&lt;&gt;COLUMNS(B840:K840),839,"")</f>
        <v>0</v>
      </c>
      <c r="C840" s="2">
        <f>IF(B840="", "", "missing: not provided")</f>
        <v>0</v>
      </c>
      <c r="D840" s="1">
        <f>IF(B840="", "", "weeks")</f>
        <v>0</v>
      </c>
      <c r="E840" s="1">
        <f>IF(B840="", "", "urban biome")</f>
        <v>0</v>
      </c>
      <c r="F840" s="1">
        <f>IF(B840="", "", "animal-associated habitat")</f>
        <v>0</v>
      </c>
      <c r="G840" s="1">
        <f>IF(B840="", "", "mouse")</f>
        <v>0</v>
      </c>
      <c r="H840" s="1">
        <f>IF(B840="", "", "Mus musculus")</f>
        <v>0</v>
      </c>
      <c r="I840" s="1">
        <f>IF(B840="", "", "10090")</f>
        <v>0</v>
      </c>
      <c r="J840" s="2">
        <f>IF(B840="", "", "missing: not provided")</f>
        <v>0</v>
      </c>
      <c r="K840" s="1">
        <f>IF(B840="", "", "g")</f>
        <v>0</v>
      </c>
    </row>
    <row r="841" spans="1:11">
      <c r="A841">
        <f>IF(COUNTBLANK(B841:K841)&lt;&gt;COLUMNS(B841:K841),840,"")</f>
        <v>0</v>
      </c>
      <c r="C841" s="2">
        <f>IF(B841="", "", "missing: not provided")</f>
        <v>0</v>
      </c>
      <c r="D841" s="1">
        <f>IF(B841="", "", "weeks")</f>
        <v>0</v>
      </c>
      <c r="E841" s="1">
        <f>IF(B841="", "", "urban biome")</f>
        <v>0</v>
      </c>
      <c r="F841" s="1">
        <f>IF(B841="", "", "animal-associated habitat")</f>
        <v>0</v>
      </c>
      <c r="G841" s="1">
        <f>IF(B841="", "", "mouse")</f>
        <v>0</v>
      </c>
      <c r="H841" s="1">
        <f>IF(B841="", "", "Mus musculus")</f>
        <v>0</v>
      </c>
      <c r="I841" s="1">
        <f>IF(B841="", "", "10090")</f>
        <v>0</v>
      </c>
      <c r="J841" s="2">
        <f>IF(B841="", "", "missing: not provided")</f>
        <v>0</v>
      </c>
      <c r="K841" s="1">
        <f>IF(B841="", "", "g")</f>
        <v>0</v>
      </c>
    </row>
    <row r="842" spans="1:11">
      <c r="A842">
        <f>IF(COUNTBLANK(B842:K842)&lt;&gt;COLUMNS(B842:K842),841,"")</f>
        <v>0</v>
      </c>
      <c r="C842" s="2">
        <f>IF(B842="", "", "missing: not provided")</f>
        <v>0</v>
      </c>
      <c r="D842" s="1">
        <f>IF(B842="", "", "weeks")</f>
        <v>0</v>
      </c>
      <c r="E842" s="1">
        <f>IF(B842="", "", "urban biome")</f>
        <v>0</v>
      </c>
      <c r="F842" s="1">
        <f>IF(B842="", "", "animal-associated habitat")</f>
        <v>0</v>
      </c>
      <c r="G842" s="1">
        <f>IF(B842="", "", "mouse")</f>
        <v>0</v>
      </c>
      <c r="H842" s="1">
        <f>IF(B842="", "", "Mus musculus")</f>
        <v>0</v>
      </c>
      <c r="I842" s="1">
        <f>IF(B842="", "", "10090")</f>
        <v>0</v>
      </c>
      <c r="J842" s="2">
        <f>IF(B842="", "", "missing: not provided")</f>
        <v>0</v>
      </c>
      <c r="K842" s="1">
        <f>IF(B842="", "", "g")</f>
        <v>0</v>
      </c>
    </row>
    <row r="843" spans="1:11">
      <c r="A843">
        <f>IF(COUNTBLANK(B843:K843)&lt;&gt;COLUMNS(B843:K843),842,"")</f>
        <v>0</v>
      </c>
      <c r="C843" s="2">
        <f>IF(B843="", "", "missing: not provided")</f>
        <v>0</v>
      </c>
      <c r="D843" s="1">
        <f>IF(B843="", "", "weeks")</f>
        <v>0</v>
      </c>
      <c r="E843" s="1">
        <f>IF(B843="", "", "urban biome")</f>
        <v>0</v>
      </c>
      <c r="F843" s="1">
        <f>IF(B843="", "", "animal-associated habitat")</f>
        <v>0</v>
      </c>
      <c r="G843" s="1">
        <f>IF(B843="", "", "mouse")</f>
        <v>0</v>
      </c>
      <c r="H843" s="1">
        <f>IF(B843="", "", "Mus musculus")</f>
        <v>0</v>
      </c>
      <c r="I843" s="1">
        <f>IF(B843="", "", "10090")</f>
        <v>0</v>
      </c>
      <c r="J843" s="2">
        <f>IF(B843="", "", "missing: not provided")</f>
        <v>0</v>
      </c>
      <c r="K843" s="1">
        <f>IF(B843="", "", "g")</f>
        <v>0</v>
      </c>
    </row>
    <row r="844" spans="1:11">
      <c r="A844">
        <f>IF(COUNTBLANK(B844:K844)&lt;&gt;COLUMNS(B844:K844),843,"")</f>
        <v>0</v>
      </c>
      <c r="C844" s="2">
        <f>IF(B844="", "", "missing: not provided")</f>
        <v>0</v>
      </c>
      <c r="D844" s="1">
        <f>IF(B844="", "", "weeks")</f>
        <v>0</v>
      </c>
      <c r="E844" s="1">
        <f>IF(B844="", "", "urban biome")</f>
        <v>0</v>
      </c>
      <c r="F844" s="1">
        <f>IF(B844="", "", "animal-associated habitat")</f>
        <v>0</v>
      </c>
      <c r="G844" s="1">
        <f>IF(B844="", "", "mouse")</f>
        <v>0</v>
      </c>
      <c r="H844" s="1">
        <f>IF(B844="", "", "Mus musculus")</f>
        <v>0</v>
      </c>
      <c r="I844" s="1">
        <f>IF(B844="", "", "10090")</f>
        <v>0</v>
      </c>
      <c r="J844" s="2">
        <f>IF(B844="", "", "missing: not provided")</f>
        <v>0</v>
      </c>
      <c r="K844" s="1">
        <f>IF(B844="", "", "g")</f>
        <v>0</v>
      </c>
    </row>
    <row r="845" spans="1:11">
      <c r="A845">
        <f>IF(COUNTBLANK(B845:K845)&lt;&gt;COLUMNS(B845:K845),844,"")</f>
        <v>0</v>
      </c>
      <c r="C845" s="2">
        <f>IF(B845="", "", "missing: not provided")</f>
        <v>0</v>
      </c>
      <c r="D845" s="1">
        <f>IF(B845="", "", "weeks")</f>
        <v>0</v>
      </c>
      <c r="E845" s="1">
        <f>IF(B845="", "", "urban biome")</f>
        <v>0</v>
      </c>
      <c r="F845" s="1">
        <f>IF(B845="", "", "animal-associated habitat")</f>
        <v>0</v>
      </c>
      <c r="G845" s="1">
        <f>IF(B845="", "", "mouse")</f>
        <v>0</v>
      </c>
      <c r="H845" s="1">
        <f>IF(B845="", "", "Mus musculus")</f>
        <v>0</v>
      </c>
      <c r="I845" s="1">
        <f>IF(B845="", "", "10090")</f>
        <v>0</v>
      </c>
      <c r="J845" s="2">
        <f>IF(B845="", "", "missing: not provided")</f>
        <v>0</v>
      </c>
      <c r="K845" s="1">
        <f>IF(B845="", "", "g")</f>
        <v>0</v>
      </c>
    </row>
    <row r="846" spans="1:11">
      <c r="A846">
        <f>IF(COUNTBLANK(B846:K846)&lt;&gt;COLUMNS(B846:K846),845,"")</f>
        <v>0</v>
      </c>
      <c r="C846" s="2">
        <f>IF(B846="", "", "missing: not provided")</f>
        <v>0</v>
      </c>
      <c r="D846" s="1">
        <f>IF(B846="", "", "weeks")</f>
        <v>0</v>
      </c>
      <c r="E846" s="1">
        <f>IF(B846="", "", "urban biome")</f>
        <v>0</v>
      </c>
      <c r="F846" s="1">
        <f>IF(B846="", "", "animal-associated habitat")</f>
        <v>0</v>
      </c>
      <c r="G846" s="1">
        <f>IF(B846="", "", "mouse")</f>
        <v>0</v>
      </c>
      <c r="H846" s="1">
        <f>IF(B846="", "", "Mus musculus")</f>
        <v>0</v>
      </c>
      <c r="I846" s="1">
        <f>IF(B846="", "", "10090")</f>
        <v>0</v>
      </c>
      <c r="J846" s="2">
        <f>IF(B846="", "", "missing: not provided")</f>
        <v>0</v>
      </c>
      <c r="K846" s="1">
        <f>IF(B846="", "", "g")</f>
        <v>0</v>
      </c>
    </row>
    <row r="847" spans="1:11">
      <c r="A847">
        <f>IF(COUNTBLANK(B847:K847)&lt;&gt;COLUMNS(B847:K847),846,"")</f>
        <v>0</v>
      </c>
      <c r="C847" s="2">
        <f>IF(B847="", "", "missing: not provided")</f>
        <v>0</v>
      </c>
      <c r="D847" s="1">
        <f>IF(B847="", "", "weeks")</f>
        <v>0</v>
      </c>
      <c r="E847" s="1">
        <f>IF(B847="", "", "urban biome")</f>
        <v>0</v>
      </c>
      <c r="F847" s="1">
        <f>IF(B847="", "", "animal-associated habitat")</f>
        <v>0</v>
      </c>
      <c r="G847" s="1">
        <f>IF(B847="", "", "mouse")</f>
        <v>0</v>
      </c>
      <c r="H847" s="1">
        <f>IF(B847="", "", "Mus musculus")</f>
        <v>0</v>
      </c>
      <c r="I847" s="1">
        <f>IF(B847="", "", "10090")</f>
        <v>0</v>
      </c>
      <c r="J847" s="2">
        <f>IF(B847="", "", "missing: not provided")</f>
        <v>0</v>
      </c>
      <c r="K847" s="1">
        <f>IF(B847="", "", "g")</f>
        <v>0</v>
      </c>
    </row>
    <row r="848" spans="1:11">
      <c r="A848">
        <f>IF(COUNTBLANK(B848:K848)&lt;&gt;COLUMNS(B848:K848),847,"")</f>
        <v>0</v>
      </c>
      <c r="C848" s="2">
        <f>IF(B848="", "", "missing: not provided")</f>
        <v>0</v>
      </c>
      <c r="D848" s="1">
        <f>IF(B848="", "", "weeks")</f>
        <v>0</v>
      </c>
      <c r="E848" s="1">
        <f>IF(B848="", "", "urban biome")</f>
        <v>0</v>
      </c>
      <c r="F848" s="1">
        <f>IF(B848="", "", "animal-associated habitat")</f>
        <v>0</v>
      </c>
      <c r="G848" s="1">
        <f>IF(B848="", "", "mouse")</f>
        <v>0</v>
      </c>
      <c r="H848" s="1">
        <f>IF(B848="", "", "Mus musculus")</f>
        <v>0</v>
      </c>
      <c r="I848" s="1">
        <f>IF(B848="", "", "10090")</f>
        <v>0</v>
      </c>
      <c r="J848" s="2">
        <f>IF(B848="", "", "missing: not provided")</f>
        <v>0</v>
      </c>
      <c r="K848" s="1">
        <f>IF(B848="", "", "g")</f>
        <v>0</v>
      </c>
    </row>
    <row r="849" spans="1:11">
      <c r="A849">
        <f>IF(COUNTBLANK(B849:K849)&lt;&gt;COLUMNS(B849:K849),848,"")</f>
        <v>0</v>
      </c>
      <c r="C849" s="2">
        <f>IF(B849="", "", "missing: not provided")</f>
        <v>0</v>
      </c>
      <c r="D849" s="1">
        <f>IF(B849="", "", "weeks")</f>
        <v>0</v>
      </c>
      <c r="E849" s="1">
        <f>IF(B849="", "", "urban biome")</f>
        <v>0</v>
      </c>
      <c r="F849" s="1">
        <f>IF(B849="", "", "animal-associated habitat")</f>
        <v>0</v>
      </c>
      <c r="G849" s="1">
        <f>IF(B849="", "", "mouse")</f>
        <v>0</v>
      </c>
      <c r="H849" s="1">
        <f>IF(B849="", "", "Mus musculus")</f>
        <v>0</v>
      </c>
      <c r="I849" s="1">
        <f>IF(B849="", "", "10090")</f>
        <v>0</v>
      </c>
      <c r="J849" s="2">
        <f>IF(B849="", "", "missing: not provided")</f>
        <v>0</v>
      </c>
      <c r="K849" s="1">
        <f>IF(B849="", "", "g")</f>
        <v>0</v>
      </c>
    </row>
    <row r="850" spans="1:11">
      <c r="A850">
        <f>IF(COUNTBLANK(B850:K850)&lt;&gt;COLUMNS(B850:K850),849,"")</f>
        <v>0</v>
      </c>
      <c r="C850" s="2">
        <f>IF(B850="", "", "missing: not provided")</f>
        <v>0</v>
      </c>
      <c r="D850" s="1">
        <f>IF(B850="", "", "weeks")</f>
        <v>0</v>
      </c>
      <c r="E850" s="1">
        <f>IF(B850="", "", "urban biome")</f>
        <v>0</v>
      </c>
      <c r="F850" s="1">
        <f>IF(B850="", "", "animal-associated habitat")</f>
        <v>0</v>
      </c>
      <c r="G850" s="1">
        <f>IF(B850="", "", "mouse")</f>
        <v>0</v>
      </c>
      <c r="H850" s="1">
        <f>IF(B850="", "", "Mus musculus")</f>
        <v>0</v>
      </c>
      <c r="I850" s="1">
        <f>IF(B850="", "", "10090")</f>
        <v>0</v>
      </c>
      <c r="J850" s="2">
        <f>IF(B850="", "", "missing: not provided")</f>
        <v>0</v>
      </c>
      <c r="K850" s="1">
        <f>IF(B850="", "", "g")</f>
        <v>0</v>
      </c>
    </row>
    <row r="851" spans="1:11">
      <c r="A851">
        <f>IF(COUNTBLANK(B851:K851)&lt;&gt;COLUMNS(B851:K851),850,"")</f>
        <v>0</v>
      </c>
      <c r="C851" s="2">
        <f>IF(B851="", "", "missing: not provided")</f>
        <v>0</v>
      </c>
      <c r="D851" s="1">
        <f>IF(B851="", "", "weeks")</f>
        <v>0</v>
      </c>
      <c r="E851" s="1">
        <f>IF(B851="", "", "urban biome")</f>
        <v>0</v>
      </c>
      <c r="F851" s="1">
        <f>IF(B851="", "", "animal-associated habitat")</f>
        <v>0</v>
      </c>
      <c r="G851" s="1">
        <f>IF(B851="", "", "mouse")</f>
        <v>0</v>
      </c>
      <c r="H851" s="1">
        <f>IF(B851="", "", "Mus musculus")</f>
        <v>0</v>
      </c>
      <c r="I851" s="1">
        <f>IF(B851="", "", "10090")</f>
        <v>0</v>
      </c>
      <c r="J851" s="2">
        <f>IF(B851="", "", "missing: not provided")</f>
        <v>0</v>
      </c>
      <c r="K851" s="1">
        <f>IF(B851="", "", "g")</f>
        <v>0</v>
      </c>
    </row>
    <row r="852" spans="1:11">
      <c r="A852">
        <f>IF(COUNTBLANK(B852:K852)&lt;&gt;COLUMNS(B852:K852),851,"")</f>
        <v>0</v>
      </c>
      <c r="C852" s="2">
        <f>IF(B852="", "", "missing: not provided")</f>
        <v>0</v>
      </c>
      <c r="D852" s="1">
        <f>IF(B852="", "", "weeks")</f>
        <v>0</v>
      </c>
      <c r="E852" s="1">
        <f>IF(B852="", "", "urban biome")</f>
        <v>0</v>
      </c>
      <c r="F852" s="1">
        <f>IF(B852="", "", "animal-associated habitat")</f>
        <v>0</v>
      </c>
      <c r="G852" s="1">
        <f>IF(B852="", "", "mouse")</f>
        <v>0</v>
      </c>
      <c r="H852" s="1">
        <f>IF(B852="", "", "Mus musculus")</f>
        <v>0</v>
      </c>
      <c r="I852" s="1">
        <f>IF(B852="", "", "10090")</f>
        <v>0</v>
      </c>
      <c r="J852" s="2">
        <f>IF(B852="", "", "missing: not provided")</f>
        <v>0</v>
      </c>
      <c r="K852" s="1">
        <f>IF(B852="", "", "g")</f>
        <v>0</v>
      </c>
    </row>
    <row r="853" spans="1:11">
      <c r="A853">
        <f>IF(COUNTBLANK(B853:K853)&lt;&gt;COLUMNS(B853:K853),852,"")</f>
        <v>0</v>
      </c>
      <c r="C853" s="2">
        <f>IF(B853="", "", "missing: not provided")</f>
        <v>0</v>
      </c>
      <c r="D853" s="1">
        <f>IF(B853="", "", "weeks")</f>
        <v>0</v>
      </c>
      <c r="E853" s="1">
        <f>IF(B853="", "", "urban biome")</f>
        <v>0</v>
      </c>
      <c r="F853" s="1">
        <f>IF(B853="", "", "animal-associated habitat")</f>
        <v>0</v>
      </c>
      <c r="G853" s="1">
        <f>IF(B853="", "", "mouse")</f>
        <v>0</v>
      </c>
      <c r="H853" s="1">
        <f>IF(B853="", "", "Mus musculus")</f>
        <v>0</v>
      </c>
      <c r="I853" s="1">
        <f>IF(B853="", "", "10090")</f>
        <v>0</v>
      </c>
      <c r="J853" s="2">
        <f>IF(B853="", "", "missing: not provided")</f>
        <v>0</v>
      </c>
      <c r="K853" s="1">
        <f>IF(B853="", "", "g")</f>
        <v>0</v>
      </c>
    </row>
    <row r="854" spans="1:11">
      <c r="A854">
        <f>IF(COUNTBLANK(B854:K854)&lt;&gt;COLUMNS(B854:K854),853,"")</f>
        <v>0</v>
      </c>
      <c r="C854" s="2">
        <f>IF(B854="", "", "missing: not provided")</f>
        <v>0</v>
      </c>
      <c r="D854" s="1">
        <f>IF(B854="", "", "weeks")</f>
        <v>0</v>
      </c>
      <c r="E854" s="1">
        <f>IF(B854="", "", "urban biome")</f>
        <v>0</v>
      </c>
      <c r="F854" s="1">
        <f>IF(B854="", "", "animal-associated habitat")</f>
        <v>0</v>
      </c>
      <c r="G854" s="1">
        <f>IF(B854="", "", "mouse")</f>
        <v>0</v>
      </c>
      <c r="H854" s="1">
        <f>IF(B854="", "", "Mus musculus")</f>
        <v>0</v>
      </c>
      <c r="I854" s="1">
        <f>IF(B854="", "", "10090")</f>
        <v>0</v>
      </c>
      <c r="J854" s="2">
        <f>IF(B854="", "", "missing: not provided")</f>
        <v>0</v>
      </c>
      <c r="K854" s="1">
        <f>IF(B854="", "", "g")</f>
        <v>0</v>
      </c>
    </row>
    <row r="855" spans="1:11">
      <c r="A855">
        <f>IF(COUNTBLANK(B855:K855)&lt;&gt;COLUMNS(B855:K855),854,"")</f>
        <v>0</v>
      </c>
      <c r="C855" s="2">
        <f>IF(B855="", "", "missing: not provided")</f>
        <v>0</v>
      </c>
      <c r="D855" s="1">
        <f>IF(B855="", "", "weeks")</f>
        <v>0</v>
      </c>
      <c r="E855" s="1">
        <f>IF(B855="", "", "urban biome")</f>
        <v>0</v>
      </c>
      <c r="F855" s="1">
        <f>IF(B855="", "", "animal-associated habitat")</f>
        <v>0</v>
      </c>
      <c r="G855" s="1">
        <f>IF(B855="", "", "mouse")</f>
        <v>0</v>
      </c>
      <c r="H855" s="1">
        <f>IF(B855="", "", "Mus musculus")</f>
        <v>0</v>
      </c>
      <c r="I855" s="1">
        <f>IF(B855="", "", "10090")</f>
        <v>0</v>
      </c>
      <c r="J855" s="2">
        <f>IF(B855="", "", "missing: not provided")</f>
        <v>0</v>
      </c>
      <c r="K855" s="1">
        <f>IF(B855="", "", "g")</f>
        <v>0</v>
      </c>
    </row>
    <row r="856" spans="1:11">
      <c r="A856">
        <f>IF(COUNTBLANK(B856:K856)&lt;&gt;COLUMNS(B856:K856),855,"")</f>
        <v>0</v>
      </c>
      <c r="C856" s="2">
        <f>IF(B856="", "", "missing: not provided")</f>
        <v>0</v>
      </c>
      <c r="D856" s="1">
        <f>IF(B856="", "", "weeks")</f>
        <v>0</v>
      </c>
      <c r="E856" s="1">
        <f>IF(B856="", "", "urban biome")</f>
        <v>0</v>
      </c>
      <c r="F856" s="1">
        <f>IF(B856="", "", "animal-associated habitat")</f>
        <v>0</v>
      </c>
      <c r="G856" s="1">
        <f>IF(B856="", "", "mouse")</f>
        <v>0</v>
      </c>
      <c r="H856" s="1">
        <f>IF(B856="", "", "Mus musculus")</f>
        <v>0</v>
      </c>
      <c r="I856" s="1">
        <f>IF(B856="", "", "10090")</f>
        <v>0</v>
      </c>
      <c r="J856" s="2">
        <f>IF(B856="", "", "missing: not provided")</f>
        <v>0</v>
      </c>
      <c r="K856" s="1">
        <f>IF(B856="", "", "g")</f>
        <v>0</v>
      </c>
    </row>
    <row r="857" spans="1:11">
      <c r="A857">
        <f>IF(COUNTBLANK(B857:K857)&lt;&gt;COLUMNS(B857:K857),856,"")</f>
        <v>0</v>
      </c>
      <c r="C857" s="2">
        <f>IF(B857="", "", "missing: not provided")</f>
        <v>0</v>
      </c>
      <c r="D857" s="1">
        <f>IF(B857="", "", "weeks")</f>
        <v>0</v>
      </c>
      <c r="E857" s="1">
        <f>IF(B857="", "", "urban biome")</f>
        <v>0</v>
      </c>
      <c r="F857" s="1">
        <f>IF(B857="", "", "animal-associated habitat")</f>
        <v>0</v>
      </c>
      <c r="G857" s="1">
        <f>IF(B857="", "", "mouse")</f>
        <v>0</v>
      </c>
      <c r="H857" s="1">
        <f>IF(B857="", "", "Mus musculus")</f>
        <v>0</v>
      </c>
      <c r="I857" s="1">
        <f>IF(B857="", "", "10090")</f>
        <v>0</v>
      </c>
      <c r="J857" s="2">
        <f>IF(B857="", "", "missing: not provided")</f>
        <v>0</v>
      </c>
      <c r="K857" s="1">
        <f>IF(B857="", "", "g")</f>
        <v>0</v>
      </c>
    </row>
    <row r="858" spans="1:11">
      <c r="A858">
        <f>IF(COUNTBLANK(B858:K858)&lt;&gt;COLUMNS(B858:K858),857,"")</f>
        <v>0</v>
      </c>
      <c r="C858" s="2">
        <f>IF(B858="", "", "missing: not provided")</f>
        <v>0</v>
      </c>
      <c r="D858" s="1">
        <f>IF(B858="", "", "weeks")</f>
        <v>0</v>
      </c>
      <c r="E858" s="1">
        <f>IF(B858="", "", "urban biome")</f>
        <v>0</v>
      </c>
      <c r="F858" s="1">
        <f>IF(B858="", "", "animal-associated habitat")</f>
        <v>0</v>
      </c>
      <c r="G858" s="1">
        <f>IF(B858="", "", "mouse")</f>
        <v>0</v>
      </c>
      <c r="H858" s="1">
        <f>IF(B858="", "", "Mus musculus")</f>
        <v>0</v>
      </c>
      <c r="I858" s="1">
        <f>IF(B858="", "", "10090")</f>
        <v>0</v>
      </c>
      <c r="J858" s="2">
        <f>IF(B858="", "", "missing: not provided")</f>
        <v>0</v>
      </c>
      <c r="K858" s="1">
        <f>IF(B858="", "", "g")</f>
        <v>0</v>
      </c>
    </row>
    <row r="859" spans="1:11">
      <c r="A859">
        <f>IF(COUNTBLANK(B859:K859)&lt;&gt;COLUMNS(B859:K859),858,"")</f>
        <v>0</v>
      </c>
      <c r="C859" s="2">
        <f>IF(B859="", "", "missing: not provided")</f>
        <v>0</v>
      </c>
      <c r="D859" s="1">
        <f>IF(B859="", "", "weeks")</f>
        <v>0</v>
      </c>
      <c r="E859" s="1">
        <f>IF(B859="", "", "urban biome")</f>
        <v>0</v>
      </c>
      <c r="F859" s="1">
        <f>IF(B859="", "", "animal-associated habitat")</f>
        <v>0</v>
      </c>
      <c r="G859" s="1">
        <f>IF(B859="", "", "mouse")</f>
        <v>0</v>
      </c>
      <c r="H859" s="1">
        <f>IF(B859="", "", "Mus musculus")</f>
        <v>0</v>
      </c>
      <c r="I859" s="1">
        <f>IF(B859="", "", "10090")</f>
        <v>0</v>
      </c>
      <c r="J859" s="2">
        <f>IF(B859="", "", "missing: not provided")</f>
        <v>0</v>
      </c>
      <c r="K859" s="1">
        <f>IF(B859="", "", "g")</f>
        <v>0</v>
      </c>
    </row>
    <row r="860" spans="1:11">
      <c r="A860">
        <f>IF(COUNTBLANK(B860:K860)&lt;&gt;COLUMNS(B860:K860),859,"")</f>
        <v>0</v>
      </c>
      <c r="C860" s="2">
        <f>IF(B860="", "", "missing: not provided")</f>
        <v>0</v>
      </c>
      <c r="D860" s="1">
        <f>IF(B860="", "", "weeks")</f>
        <v>0</v>
      </c>
      <c r="E860" s="1">
        <f>IF(B860="", "", "urban biome")</f>
        <v>0</v>
      </c>
      <c r="F860" s="1">
        <f>IF(B860="", "", "animal-associated habitat")</f>
        <v>0</v>
      </c>
      <c r="G860" s="1">
        <f>IF(B860="", "", "mouse")</f>
        <v>0</v>
      </c>
      <c r="H860" s="1">
        <f>IF(B860="", "", "Mus musculus")</f>
        <v>0</v>
      </c>
      <c r="I860" s="1">
        <f>IF(B860="", "", "10090")</f>
        <v>0</v>
      </c>
      <c r="J860" s="2">
        <f>IF(B860="", "", "missing: not provided")</f>
        <v>0</v>
      </c>
      <c r="K860" s="1">
        <f>IF(B860="", "", "g")</f>
        <v>0</v>
      </c>
    </row>
    <row r="861" spans="1:11">
      <c r="A861">
        <f>IF(COUNTBLANK(B861:K861)&lt;&gt;COLUMNS(B861:K861),860,"")</f>
        <v>0</v>
      </c>
      <c r="C861" s="2">
        <f>IF(B861="", "", "missing: not provided")</f>
        <v>0</v>
      </c>
      <c r="D861" s="1">
        <f>IF(B861="", "", "weeks")</f>
        <v>0</v>
      </c>
      <c r="E861" s="1">
        <f>IF(B861="", "", "urban biome")</f>
        <v>0</v>
      </c>
      <c r="F861" s="1">
        <f>IF(B861="", "", "animal-associated habitat")</f>
        <v>0</v>
      </c>
      <c r="G861" s="1">
        <f>IF(B861="", "", "mouse")</f>
        <v>0</v>
      </c>
      <c r="H861" s="1">
        <f>IF(B861="", "", "Mus musculus")</f>
        <v>0</v>
      </c>
      <c r="I861" s="1">
        <f>IF(B861="", "", "10090")</f>
        <v>0</v>
      </c>
      <c r="J861" s="2">
        <f>IF(B861="", "", "missing: not provided")</f>
        <v>0</v>
      </c>
      <c r="K861" s="1">
        <f>IF(B861="", "", "g")</f>
        <v>0</v>
      </c>
    </row>
    <row r="862" spans="1:11">
      <c r="A862">
        <f>IF(COUNTBLANK(B862:K862)&lt;&gt;COLUMNS(B862:K862),861,"")</f>
        <v>0</v>
      </c>
      <c r="C862" s="2">
        <f>IF(B862="", "", "missing: not provided")</f>
        <v>0</v>
      </c>
      <c r="D862" s="1">
        <f>IF(B862="", "", "weeks")</f>
        <v>0</v>
      </c>
      <c r="E862" s="1">
        <f>IF(B862="", "", "urban biome")</f>
        <v>0</v>
      </c>
      <c r="F862" s="1">
        <f>IF(B862="", "", "animal-associated habitat")</f>
        <v>0</v>
      </c>
      <c r="G862" s="1">
        <f>IF(B862="", "", "mouse")</f>
        <v>0</v>
      </c>
      <c r="H862" s="1">
        <f>IF(B862="", "", "Mus musculus")</f>
        <v>0</v>
      </c>
      <c r="I862" s="1">
        <f>IF(B862="", "", "10090")</f>
        <v>0</v>
      </c>
      <c r="J862" s="2">
        <f>IF(B862="", "", "missing: not provided")</f>
        <v>0</v>
      </c>
      <c r="K862" s="1">
        <f>IF(B862="", "", "g")</f>
        <v>0</v>
      </c>
    </row>
    <row r="863" spans="1:11">
      <c r="A863">
        <f>IF(COUNTBLANK(B863:K863)&lt;&gt;COLUMNS(B863:K863),862,"")</f>
        <v>0</v>
      </c>
      <c r="C863" s="2">
        <f>IF(B863="", "", "missing: not provided")</f>
        <v>0</v>
      </c>
      <c r="D863" s="1">
        <f>IF(B863="", "", "weeks")</f>
        <v>0</v>
      </c>
      <c r="E863" s="1">
        <f>IF(B863="", "", "urban biome")</f>
        <v>0</v>
      </c>
      <c r="F863" s="1">
        <f>IF(B863="", "", "animal-associated habitat")</f>
        <v>0</v>
      </c>
      <c r="G863" s="1">
        <f>IF(B863="", "", "mouse")</f>
        <v>0</v>
      </c>
      <c r="H863" s="1">
        <f>IF(B863="", "", "Mus musculus")</f>
        <v>0</v>
      </c>
      <c r="I863" s="1">
        <f>IF(B863="", "", "10090")</f>
        <v>0</v>
      </c>
      <c r="J863" s="2">
        <f>IF(B863="", "", "missing: not provided")</f>
        <v>0</v>
      </c>
      <c r="K863" s="1">
        <f>IF(B863="", "", "g")</f>
        <v>0</v>
      </c>
    </row>
    <row r="864" spans="1:11">
      <c r="A864">
        <f>IF(COUNTBLANK(B864:K864)&lt;&gt;COLUMNS(B864:K864),863,"")</f>
        <v>0</v>
      </c>
      <c r="C864" s="2">
        <f>IF(B864="", "", "missing: not provided")</f>
        <v>0</v>
      </c>
      <c r="D864" s="1">
        <f>IF(B864="", "", "weeks")</f>
        <v>0</v>
      </c>
      <c r="E864" s="1">
        <f>IF(B864="", "", "urban biome")</f>
        <v>0</v>
      </c>
      <c r="F864" s="1">
        <f>IF(B864="", "", "animal-associated habitat")</f>
        <v>0</v>
      </c>
      <c r="G864" s="1">
        <f>IF(B864="", "", "mouse")</f>
        <v>0</v>
      </c>
      <c r="H864" s="1">
        <f>IF(B864="", "", "Mus musculus")</f>
        <v>0</v>
      </c>
      <c r="I864" s="1">
        <f>IF(B864="", "", "10090")</f>
        <v>0</v>
      </c>
      <c r="J864" s="2">
        <f>IF(B864="", "", "missing: not provided")</f>
        <v>0</v>
      </c>
      <c r="K864" s="1">
        <f>IF(B864="", "", "g")</f>
        <v>0</v>
      </c>
    </row>
    <row r="865" spans="1:11">
      <c r="A865">
        <f>IF(COUNTBLANK(B865:K865)&lt;&gt;COLUMNS(B865:K865),864,"")</f>
        <v>0</v>
      </c>
      <c r="C865" s="2">
        <f>IF(B865="", "", "missing: not provided")</f>
        <v>0</v>
      </c>
      <c r="D865" s="1">
        <f>IF(B865="", "", "weeks")</f>
        <v>0</v>
      </c>
      <c r="E865" s="1">
        <f>IF(B865="", "", "urban biome")</f>
        <v>0</v>
      </c>
      <c r="F865" s="1">
        <f>IF(B865="", "", "animal-associated habitat")</f>
        <v>0</v>
      </c>
      <c r="G865" s="1">
        <f>IF(B865="", "", "mouse")</f>
        <v>0</v>
      </c>
      <c r="H865" s="1">
        <f>IF(B865="", "", "Mus musculus")</f>
        <v>0</v>
      </c>
      <c r="I865" s="1">
        <f>IF(B865="", "", "10090")</f>
        <v>0</v>
      </c>
      <c r="J865" s="2">
        <f>IF(B865="", "", "missing: not provided")</f>
        <v>0</v>
      </c>
      <c r="K865" s="1">
        <f>IF(B865="", "", "g")</f>
        <v>0</v>
      </c>
    </row>
    <row r="866" spans="1:11">
      <c r="A866">
        <f>IF(COUNTBLANK(B866:K866)&lt;&gt;COLUMNS(B866:K866),865,"")</f>
        <v>0</v>
      </c>
      <c r="C866" s="2">
        <f>IF(B866="", "", "missing: not provided")</f>
        <v>0</v>
      </c>
      <c r="D866" s="1">
        <f>IF(B866="", "", "weeks")</f>
        <v>0</v>
      </c>
      <c r="E866" s="1">
        <f>IF(B866="", "", "urban biome")</f>
        <v>0</v>
      </c>
      <c r="F866" s="1">
        <f>IF(B866="", "", "animal-associated habitat")</f>
        <v>0</v>
      </c>
      <c r="G866" s="1">
        <f>IF(B866="", "", "mouse")</f>
        <v>0</v>
      </c>
      <c r="H866" s="1">
        <f>IF(B866="", "", "Mus musculus")</f>
        <v>0</v>
      </c>
      <c r="I866" s="1">
        <f>IF(B866="", "", "10090")</f>
        <v>0</v>
      </c>
      <c r="J866" s="2">
        <f>IF(B866="", "", "missing: not provided")</f>
        <v>0</v>
      </c>
      <c r="K866" s="1">
        <f>IF(B866="", "", "g")</f>
        <v>0</v>
      </c>
    </row>
    <row r="867" spans="1:11">
      <c r="A867">
        <f>IF(COUNTBLANK(B867:K867)&lt;&gt;COLUMNS(B867:K867),866,"")</f>
        <v>0</v>
      </c>
      <c r="C867" s="2">
        <f>IF(B867="", "", "missing: not provided")</f>
        <v>0</v>
      </c>
      <c r="D867" s="1">
        <f>IF(B867="", "", "weeks")</f>
        <v>0</v>
      </c>
      <c r="E867" s="1">
        <f>IF(B867="", "", "urban biome")</f>
        <v>0</v>
      </c>
      <c r="F867" s="1">
        <f>IF(B867="", "", "animal-associated habitat")</f>
        <v>0</v>
      </c>
      <c r="G867" s="1">
        <f>IF(B867="", "", "mouse")</f>
        <v>0</v>
      </c>
      <c r="H867" s="1">
        <f>IF(B867="", "", "Mus musculus")</f>
        <v>0</v>
      </c>
      <c r="I867" s="1">
        <f>IF(B867="", "", "10090")</f>
        <v>0</v>
      </c>
      <c r="J867" s="2">
        <f>IF(B867="", "", "missing: not provided")</f>
        <v>0</v>
      </c>
      <c r="K867" s="1">
        <f>IF(B867="", "", "g")</f>
        <v>0</v>
      </c>
    </row>
    <row r="868" spans="1:11">
      <c r="A868">
        <f>IF(COUNTBLANK(B868:K868)&lt;&gt;COLUMNS(B868:K868),867,"")</f>
        <v>0</v>
      </c>
      <c r="C868" s="2">
        <f>IF(B868="", "", "missing: not provided")</f>
        <v>0</v>
      </c>
      <c r="D868" s="1">
        <f>IF(B868="", "", "weeks")</f>
        <v>0</v>
      </c>
      <c r="E868" s="1">
        <f>IF(B868="", "", "urban biome")</f>
        <v>0</v>
      </c>
      <c r="F868" s="1">
        <f>IF(B868="", "", "animal-associated habitat")</f>
        <v>0</v>
      </c>
      <c r="G868" s="1">
        <f>IF(B868="", "", "mouse")</f>
        <v>0</v>
      </c>
      <c r="H868" s="1">
        <f>IF(B868="", "", "Mus musculus")</f>
        <v>0</v>
      </c>
      <c r="I868" s="1">
        <f>IF(B868="", "", "10090")</f>
        <v>0</v>
      </c>
      <c r="J868" s="2">
        <f>IF(B868="", "", "missing: not provided")</f>
        <v>0</v>
      </c>
      <c r="K868" s="1">
        <f>IF(B868="", "", "g")</f>
        <v>0</v>
      </c>
    </row>
    <row r="869" spans="1:11">
      <c r="A869">
        <f>IF(COUNTBLANK(B869:K869)&lt;&gt;COLUMNS(B869:K869),868,"")</f>
        <v>0</v>
      </c>
      <c r="C869" s="2">
        <f>IF(B869="", "", "missing: not provided")</f>
        <v>0</v>
      </c>
      <c r="D869" s="1">
        <f>IF(B869="", "", "weeks")</f>
        <v>0</v>
      </c>
      <c r="E869" s="1">
        <f>IF(B869="", "", "urban biome")</f>
        <v>0</v>
      </c>
      <c r="F869" s="1">
        <f>IF(B869="", "", "animal-associated habitat")</f>
        <v>0</v>
      </c>
      <c r="G869" s="1">
        <f>IF(B869="", "", "mouse")</f>
        <v>0</v>
      </c>
      <c r="H869" s="1">
        <f>IF(B869="", "", "Mus musculus")</f>
        <v>0</v>
      </c>
      <c r="I869" s="1">
        <f>IF(B869="", "", "10090")</f>
        <v>0</v>
      </c>
      <c r="J869" s="2">
        <f>IF(B869="", "", "missing: not provided")</f>
        <v>0</v>
      </c>
      <c r="K869" s="1">
        <f>IF(B869="", "", "g")</f>
        <v>0</v>
      </c>
    </row>
    <row r="870" spans="1:11">
      <c r="A870">
        <f>IF(COUNTBLANK(B870:K870)&lt;&gt;COLUMNS(B870:K870),869,"")</f>
        <v>0</v>
      </c>
      <c r="C870" s="2">
        <f>IF(B870="", "", "missing: not provided")</f>
        <v>0</v>
      </c>
      <c r="D870" s="1">
        <f>IF(B870="", "", "weeks")</f>
        <v>0</v>
      </c>
      <c r="E870" s="1">
        <f>IF(B870="", "", "urban biome")</f>
        <v>0</v>
      </c>
      <c r="F870" s="1">
        <f>IF(B870="", "", "animal-associated habitat")</f>
        <v>0</v>
      </c>
      <c r="G870" s="1">
        <f>IF(B870="", "", "mouse")</f>
        <v>0</v>
      </c>
      <c r="H870" s="1">
        <f>IF(B870="", "", "Mus musculus")</f>
        <v>0</v>
      </c>
      <c r="I870" s="1">
        <f>IF(B870="", "", "10090")</f>
        <v>0</v>
      </c>
      <c r="J870" s="2">
        <f>IF(B870="", "", "missing: not provided")</f>
        <v>0</v>
      </c>
      <c r="K870" s="1">
        <f>IF(B870="", "", "g")</f>
        <v>0</v>
      </c>
    </row>
    <row r="871" spans="1:11">
      <c r="A871">
        <f>IF(COUNTBLANK(B871:K871)&lt;&gt;COLUMNS(B871:K871),870,"")</f>
        <v>0</v>
      </c>
      <c r="C871" s="2">
        <f>IF(B871="", "", "missing: not provided")</f>
        <v>0</v>
      </c>
      <c r="D871" s="1">
        <f>IF(B871="", "", "weeks")</f>
        <v>0</v>
      </c>
      <c r="E871" s="1">
        <f>IF(B871="", "", "urban biome")</f>
        <v>0</v>
      </c>
      <c r="F871" s="1">
        <f>IF(B871="", "", "animal-associated habitat")</f>
        <v>0</v>
      </c>
      <c r="G871" s="1">
        <f>IF(B871="", "", "mouse")</f>
        <v>0</v>
      </c>
      <c r="H871" s="1">
        <f>IF(B871="", "", "Mus musculus")</f>
        <v>0</v>
      </c>
      <c r="I871" s="1">
        <f>IF(B871="", "", "10090")</f>
        <v>0</v>
      </c>
      <c r="J871" s="2">
        <f>IF(B871="", "", "missing: not provided")</f>
        <v>0</v>
      </c>
      <c r="K871" s="1">
        <f>IF(B871="", "", "g")</f>
        <v>0</v>
      </c>
    </row>
    <row r="872" spans="1:11">
      <c r="A872">
        <f>IF(COUNTBLANK(B872:K872)&lt;&gt;COLUMNS(B872:K872),871,"")</f>
        <v>0</v>
      </c>
      <c r="C872" s="2">
        <f>IF(B872="", "", "missing: not provided")</f>
        <v>0</v>
      </c>
      <c r="D872" s="1">
        <f>IF(B872="", "", "weeks")</f>
        <v>0</v>
      </c>
      <c r="E872" s="1">
        <f>IF(B872="", "", "urban biome")</f>
        <v>0</v>
      </c>
      <c r="F872" s="1">
        <f>IF(B872="", "", "animal-associated habitat")</f>
        <v>0</v>
      </c>
      <c r="G872" s="1">
        <f>IF(B872="", "", "mouse")</f>
        <v>0</v>
      </c>
      <c r="H872" s="1">
        <f>IF(B872="", "", "Mus musculus")</f>
        <v>0</v>
      </c>
      <c r="I872" s="1">
        <f>IF(B872="", "", "10090")</f>
        <v>0</v>
      </c>
      <c r="J872" s="2">
        <f>IF(B872="", "", "missing: not provided")</f>
        <v>0</v>
      </c>
      <c r="K872" s="1">
        <f>IF(B872="", "", "g")</f>
        <v>0</v>
      </c>
    </row>
    <row r="873" spans="1:11">
      <c r="A873">
        <f>IF(COUNTBLANK(B873:K873)&lt;&gt;COLUMNS(B873:K873),872,"")</f>
        <v>0</v>
      </c>
      <c r="C873" s="2">
        <f>IF(B873="", "", "missing: not provided")</f>
        <v>0</v>
      </c>
      <c r="D873" s="1">
        <f>IF(B873="", "", "weeks")</f>
        <v>0</v>
      </c>
      <c r="E873" s="1">
        <f>IF(B873="", "", "urban biome")</f>
        <v>0</v>
      </c>
      <c r="F873" s="1">
        <f>IF(B873="", "", "animal-associated habitat")</f>
        <v>0</v>
      </c>
      <c r="G873" s="1">
        <f>IF(B873="", "", "mouse")</f>
        <v>0</v>
      </c>
      <c r="H873" s="1">
        <f>IF(B873="", "", "Mus musculus")</f>
        <v>0</v>
      </c>
      <c r="I873" s="1">
        <f>IF(B873="", "", "10090")</f>
        <v>0</v>
      </c>
      <c r="J873" s="2">
        <f>IF(B873="", "", "missing: not provided")</f>
        <v>0</v>
      </c>
      <c r="K873" s="1">
        <f>IF(B873="", "", "g")</f>
        <v>0</v>
      </c>
    </row>
    <row r="874" spans="1:11">
      <c r="A874">
        <f>IF(COUNTBLANK(B874:K874)&lt;&gt;COLUMNS(B874:K874),873,"")</f>
        <v>0</v>
      </c>
      <c r="C874" s="2">
        <f>IF(B874="", "", "missing: not provided")</f>
        <v>0</v>
      </c>
      <c r="D874" s="1">
        <f>IF(B874="", "", "weeks")</f>
        <v>0</v>
      </c>
      <c r="E874" s="1">
        <f>IF(B874="", "", "urban biome")</f>
        <v>0</v>
      </c>
      <c r="F874" s="1">
        <f>IF(B874="", "", "animal-associated habitat")</f>
        <v>0</v>
      </c>
      <c r="G874" s="1">
        <f>IF(B874="", "", "mouse")</f>
        <v>0</v>
      </c>
      <c r="H874" s="1">
        <f>IF(B874="", "", "Mus musculus")</f>
        <v>0</v>
      </c>
      <c r="I874" s="1">
        <f>IF(B874="", "", "10090")</f>
        <v>0</v>
      </c>
      <c r="J874" s="2">
        <f>IF(B874="", "", "missing: not provided")</f>
        <v>0</v>
      </c>
      <c r="K874" s="1">
        <f>IF(B874="", "", "g")</f>
        <v>0</v>
      </c>
    </row>
    <row r="875" spans="1:11">
      <c r="A875">
        <f>IF(COUNTBLANK(B875:K875)&lt;&gt;COLUMNS(B875:K875),874,"")</f>
        <v>0</v>
      </c>
      <c r="C875" s="2">
        <f>IF(B875="", "", "missing: not provided")</f>
        <v>0</v>
      </c>
      <c r="D875" s="1">
        <f>IF(B875="", "", "weeks")</f>
        <v>0</v>
      </c>
      <c r="E875" s="1">
        <f>IF(B875="", "", "urban biome")</f>
        <v>0</v>
      </c>
      <c r="F875" s="1">
        <f>IF(B875="", "", "animal-associated habitat")</f>
        <v>0</v>
      </c>
      <c r="G875" s="1">
        <f>IF(B875="", "", "mouse")</f>
        <v>0</v>
      </c>
      <c r="H875" s="1">
        <f>IF(B875="", "", "Mus musculus")</f>
        <v>0</v>
      </c>
      <c r="I875" s="1">
        <f>IF(B875="", "", "10090")</f>
        <v>0</v>
      </c>
      <c r="J875" s="2">
        <f>IF(B875="", "", "missing: not provided")</f>
        <v>0</v>
      </c>
      <c r="K875" s="1">
        <f>IF(B875="", "", "g")</f>
        <v>0</v>
      </c>
    </row>
    <row r="876" spans="1:11">
      <c r="A876">
        <f>IF(COUNTBLANK(B876:K876)&lt;&gt;COLUMNS(B876:K876),875,"")</f>
        <v>0</v>
      </c>
      <c r="C876" s="2">
        <f>IF(B876="", "", "missing: not provided")</f>
        <v>0</v>
      </c>
      <c r="D876" s="1">
        <f>IF(B876="", "", "weeks")</f>
        <v>0</v>
      </c>
      <c r="E876" s="1">
        <f>IF(B876="", "", "urban biome")</f>
        <v>0</v>
      </c>
      <c r="F876" s="1">
        <f>IF(B876="", "", "animal-associated habitat")</f>
        <v>0</v>
      </c>
      <c r="G876" s="1">
        <f>IF(B876="", "", "mouse")</f>
        <v>0</v>
      </c>
      <c r="H876" s="1">
        <f>IF(B876="", "", "Mus musculus")</f>
        <v>0</v>
      </c>
      <c r="I876" s="1">
        <f>IF(B876="", "", "10090")</f>
        <v>0</v>
      </c>
      <c r="J876" s="2">
        <f>IF(B876="", "", "missing: not provided")</f>
        <v>0</v>
      </c>
      <c r="K876" s="1">
        <f>IF(B876="", "", "g")</f>
        <v>0</v>
      </c>
    </row>
    <row r="877" spans="1:11">
      <c r="A877">
        <f>IF(COUNTBLANK(B877:K877)&lt;&gt;COLUMNS(B877:K877),876,"")</f>
        <v>0</v>
      </c>
      <c r="C877" s="2">
        <f>IF(B877="", "", "missing: not provided")</f>
        <v>0</v>
      </c>
      <c r="D877" s="1">
        <f>IF(B877="", "", "weeks")</f>
        <v>0</v>
      </c>
      <c r="E877" s="1">
        <f>IF(B877="", "", "urban biome")</f>
        <v>0</v>
      </c>
      <c r="F877" s="1">
        <f>IF(B877="", "", "animal-associated habitat")</f>
        <v>0</v>
      </c>
      <c r="G877" s="1">
        <f>IF(B877="", "", "mouse")</f>
        <v>0</v>
      </c>
      <c r="H877" s="1">
        <f>IF(B877="", "", "Mus musculus")</f>
        <v>0</v>
      </c>
      <c r="I877" s="1">
        <f>IF(B877="", "", "10090")</f>
        <v>0</v>
      </c>
      <c r="J877" s="2">
        <f>IF(B877="", "", "missing: not provided")</f>
        <v>0</v>
      </c>
      <c r="K877" s="1">
        <f>IF(B877="", "", "g")</f>
        <v>0</v>
      </c>
    </row>
    <row r="878" spans="1:11">
      <c r="A878">
        <f>IF(COUNTBLANK(B878:K878)&lt;&gt;COLUMNS(B878:K878),877,"")</f>
        <v>0</v>
      </c>
      <c r="C878" s="2">
        <f>IF(B878="", "", "missing: not provided")</f>
        <v>0</v>
      </c>
      <c r="D878" s="1">
        <f>IF(B878="", "", "weeks")</f>
        <v>0</v>
      </c>
      <c r="E878" s="1">
        <f>IF(B878="", "", "urban biome")</f>
        <v>0</v>
      </c>
      <c r="F878" s="1">
        <f>IF(B878="", "", "animal-associated habitat")</f>
        <v>0</v>
      </c>
      <c r="G878" s="1">
        <f>IF(B878="", "", "mouse")</f>
        <v>0</v>
      </c>
      <c r="H878" s="1">
        <f>IF(B878="", "", "Mus musculus")</f>
        <v>0</v>
      </c>
      <c r="I878" s="1">
        <f>IF(B878="", "", "10090")</f>
        <v>0</v>
      </c>
      <c r="J878" s="2">
        <f>IF(B878="", "", "missing: not provided")</f>
        <v>0</v>
      </c>
      <c r="K878" s="1">
        <f>IF(B878="", "", "g")</f>
        <v>0</v>
      </c>
    </row>
    <row r="879" spans="1:11">
      <c r="A879">
        <f>IF(COUNTBLANK(B879:K879)&lt;&gt;COLUMNS(B879:K879),878,"")</f>
        <v>0</v>
      </c>
      <c r="C879" s="2">
        <f>IF(B879="", "", "missing: not provided")</f>
        <v>0</v>
      </c>
      <c r="D879" s="1">
        <f>IF(B879="", "", "weeks")</f>
        <v>0</v>
      </c>
      <c r="E879" s="1">
        <f>IF(B879="", "", "urban biome")</f>
        <v>0</v>
      </c>
      <c r="F879" s="1">
        <f>IF(B879="", "", "animal-associated habitat")</f>
        <v>0</v>
      </c>
      <c r="G879" s="1">
        <f>IF(B879="", "", "mouse")</f>
        <v>0</v>
      </c>
      <c r="H879" s="1">
        <f>IF(B879="", "", "Mus musculus")</f>
        <v>0</v>
      </c>
      <c r="I879" s="1">
        <f>IF(B879="", "", "10090")</f>
        <v>0</v>
      </c>
      <c r="J879" s="2">
        <f>IF(B879="", "", "missing: not provided")</f>
        <v>0</v>
      </c>
      <c r="K879" s="1">
        <f>IF(B879="", "", "g")</f>
        <v>0</v>
      </c>
    </row>
    <row r="880" spans="1:11">
      <c r="A880">
        <f>IF(COUNTBLANK(B880:K880)&lt;&gt;COLUMNS(B880:K880),879,"")</f>
        <v>0</v>
      </c>
      <c r="C880" s="2">
        <f>IF(B880="", "", "missing: not provided")</f>
        <v>0</v>
      </c>
      <c r="D880" s="1">
        <f>IF(B880="", "", "weeks")</f>
        <v>0</v>
      </c>
      <c r="E880" s="1">
        <f>IF(B880="", "", "urban biome")</f>
        <v>0</v>
      </c>
      <c r="F880" s="1">
        <f>IF(B880="", "", "animal-associated habitat")</f>
        <v>0</v>
      </c>
      <c r="G880" s="1">
        <f>IF(B880="", "", "mouse")</f>
        <v>0</v>
      </c>
      <c r="H880" s="1">
        <f>IF(B880="", "", "Mus musculus")</f>
        <v>0</v>
      </c>
      <c r="I880" s="1">
        <f>IF(B880="", "", "10090")</f>
        <v>0</v>
      </c>
      <c r="J880" s="2">
        <f>IF(B880="", "", "missing: not provided")</f>
        <v>0</v>
      </c>
      <c r="K880" s="1">
        <f>IF(B880="", "", "g")</f>
        <v>0</v>
      </c>
    </row>
    <row r="881" spans="1:11">
      <c r="A881">
        <f>IF(COUNTBLANK(B881:K881)&lt;&gt;COLUMNS(B881:K881),880,"")</f>
        <v>0</v>
      </c>
      <c r="C881" s="2">
        <f>IF(B881="", "", "missing: not provided")</f>
        <v>0</v>
      </c>
      <c r="D881" s="1">
        <f>IF(B881="", "", "weeks")</f>
        <v>0</v>
      </c>
      <c r="E881" s="1">
        <f>IF(B881="", "", "urban biome")</f>
        <v>0</v>
      </c>
      <c r="F881" s="1">
        <f>IF(B881="", "", "animal-associated habitat")</f>
        <v>0</v>
      </c>
      <c r="G881" s="1">
        <f>IF(B881="", "", "mouse")</f>
        <v>0</v>
      </c>
      <c r="H881" s="1">
        <f>IF(B881="", "", "Mus musculus")</f>
        <v>0</v>
      </c>
      <c r="I881" s="1">
        <f>IF(B881="", "", "10090")</f>
        <v>0</v>
      </c>
      <c r="J881" s="2">
        <f>IF(B881="", "", "missing: not provided")</f>
        <v>0</v>
      </c>
      <c r="K881" s="1">
        <f>IF(B881="", "", "g")</f>
        <v>0</v>
      </c>
    </row>
    <row r="882" spans="1:11">
      <c r="A882">
        <f>IF(COUNTBLANK(B882:K882)&lt;&gt;COLUMNS(B882:K882),881,"")</f>
        <v>0</v>
      </c>
      <c r="C882" s="2">
        <f>IF(B882="", "", "missing: not provided")</f>
        <v>0</v>
      </c>
      <c r="D882" s="1">
        <f>IF(B882="", "", "weeks")</f>
        <v>0</v>
      </c>
      <c r="E882" s="1">
        <f>IF(B882="", "", "urban biome")</f>
        <v>0</v>
      </c>
      <c r="F882" s="1">
        <f>IF(B882="", "", "animal-associated habitat")</f>
        <v>0</v>
      </c>
      <c r="G882" s="1">
        <f>IF(B882="", "", "mouse")</f>
        <v>0</v>
      </c>
      <c r="H882" s="1">
        <f>IF(B882="", "", "Mus musculus")</f>
        <v>0</v>
      </c>
      <c r="I882" s="1">
        <f>IF(B882="", "", "10090")</f>
        <v>0</v>
      </c>
      <c r="J882" s="2">
        <f>IF(B882="", "", "missing: not provided")</f>
        <v>0</v>
      </c>
      <c r="K882" s="1">
        <f>IF(B882="", "", "g")</f>
        <v>0</v>
      </c>
    </row>
    <row r="883" spans="1:11">
      <c r="A883">
        <f>IF(COUNTBLANK(B883:K883)&lt;&gt;COLUMNS(B883:K883),882,"")</f>
        <v>0</v>
      </c>
      <c r="C883" s="2">
        <f>IF(B883="", "", "missing: not provided")</f>
        <v>0</v>
      </c>
      <c r="D883" s="1">
        <f>IF(B883="", "", "weeks")</f>
        <v>0</v>
      </c>
      <c r="E883" s="1">
        <f>IF(B883="", "", "urban biome")</f>
        <v>0</v>
      </c>
      <c r="F883" s="1">
        <f>IF(B883="", "", "animal-associated habitat")</f>
        <v>0</v>
      </c>
      <c r="G883" s="1">
        <f>IF(B883="", "", "mouse")</f>
        <v>0</v>
      </c>
      <c r="H883" s="1">
        <f>IF(B883="", "", "Mus musculus")</f>
        <v>0</v>
      </c>
      <c r="I883" s="1">
        <f>IF(B883="", "", "10090")</f>
        <v>0</v>
      </c>
      <c r="J883" s="2">
        <f>IF(B883="", "", "missing: not provided")</f>
        <v>0</v>
      </c>
      <c r="K883" s="1">
        <f>IF(B883="", "", "g")</f>
        <v>0</v>
      </c>
    </row>
    <row r="884" spans="1:11">
      <c r="A884">
        <f>IF(COUNTBLANK(B884:K884)&lt;&gt;COLUMNS(B884:K884),883,"")</f>
        <v>0</v>
      </c>
      <c r="C884" s="2">
        <f>IF(B884="", "", "missing: not provided")</f>
        <v>0</v>
      </c>
      <c r="D884" s="1">
        <f>IF(B884="", "", "weeks")</f>
        <v>0</v>
      </c>
      <c r="E884" s="1">
        <f>IF(B884="", "", "urban biome")</f>
        <v>0</v>
      </c>
      <c r="F884" s="1">
        <f>IF(B884="", "", "animal-associated habitat")</f>
        <v>0</v>
      </c>
      <c r="G884" s="1">
        <f>IF(B884="", "", "mouse")</f>
        <v>0</v>
      </c>
      <c r="H884" s="1">
        <f>IF(B884="", "", "Mus musculus")</f>
        <v>0</v>
      </c>
      <c r="I884" s="1">
        <f>IF(B884="", "", "10090")</f>
        <v>0</v>
      </c>
      <c r="J884" s="2">
        <f>IF(B884="", "", "missing: not provided")</f>
        <v>0</v>
      </c>
      <c r="K884" s="1">
        <f>IF(B884="", "", "g")</f>
        <v>0</v>
      </c>
    </row>
    <row r="885" spans="1:11">
      <c r="A885">
        <f>IF(COUNTBLANK(B885:K885)&lt;&gt;COLUMNS(B885:K885),884,"")</f>
        <v>0</v>
      </c>
      <c r="C885" s="2">
        <f>IF(B885="", "", "missing: not provided")</f>
        <v>0</v>
      </c>
      <c r="D885" s="1">
        <f>IF(B885="", "", "weeks")</f>
        <v>0</v>
      </c>
      <c r="E885" s="1">
        <f>IF(B885="", "", "urban biome")</f>
        <v>0</v>
      </c>
      <c r="F885" s="1">
        <f>IF(B885="", "", "animal-associated habitat")</f>
        <v>0</v>
      </c>
      <c r="G885" s="1">
        <f>IF(B885="", "", "mouse")</f>
        <v>0</v>
      </c>
      <c r="H885" s="1">
        <f>IF(B885="", "", "Mus musculus")</f>
        <v>0</v>
      </c>
      <c r="I885" s="1">
        <f>IF(B885="", "", "10090")</f>
        <v>0</v>
      </c>
      <c r="J885" s="2">
        <f>IF(B885="", "", "missing: not provided")</f>
        <v>0</v>
      </c>
      <c r="K885" s="1">
        <f>IF(B885="", "", "g")</f>
        <v>0</v>
      </c>
    </row>
    <row r="886" spans="1:11">
      <c r="A886">
        <f>IF(COUNTBLANK(B886:K886)&lt;&gt;COLUMNS(B886:K886),885,"")</f>
        <v>0</v>
      </c>
      <c r="C886" s="2">
        <f>IF(B886="", "", "missing: not provided")</f>
        <v>0</v>
      </c>
      <c r="D886" s="1">
        <f>IF(B886="", "", "weeks")</f>
        <v>0</v>
      </c>
      <c r="E886" s="1">
        <f>IF(B886="", "", "urban biome")</f>
        <v>0</v>
      </c>
      <c r="F886" s="1">
        <f>IF(B886="", "", "animal-associated habitat")</f>
        <v>0</v>
      </c>
      <c r="G886" s="1">
        <f>IF(B886="", "", "mouse")</f>
        <v>0</v>
      </c>
      <c r="H886" s="1">
        <f>IF(B886="", "", "Mus musculus")</f>
        <v>0</v>
      </c>
      <c r="I886" s="1">
        <f>IF(B886="", "", "10090")</f>
        <v>0</v>
      </c>
      <c r="J886" s="2">
        <f>IF(B886="", "", "missing: not provided")</f>
        <v>0</v>
      </c>
      <c r="K886" s="1">
        <f>IF(B886="", "", "g")</f>
        <v>0</v>
      </c>
    </row>
    <row r="887" spans="1:11">
      <c r="A887">
        <f>IF(COUNTBLANK(B887:K887)&lt;&gt;COLUMNS(B887:K887),886,"")</f>
        <v>0</v>
      </c>
      <c r="C887" s="2">
        <f>IF(B887="", "", "missing: not provided")</f>
        <v>0</v>
      </c>
      <c r="D887" s="1">
        <f>IF(B887="", "", "weeks")</f>
        <v>0</v>
      </c>
      <c r="E887" s="1">
        <f>IF(B887="", "", "urban biome")</f>
        <v>0</v>
      </c>
      <c r="F887" s="1">
        <f>IF(B887="", "", "animal-associated habitat")</f>
        <v>0</v>
      </c>
      <c r="G887" s="1">
        <f>IF(B887="", "", "mouse")</f>
        <v>0</v>
      </c>
      <c r="H887" s="1">
        <f>IF(B887="", "", "Mus musculus")</f>
        <v>0</v>
      </c>
      <c r="I887" s="1">
        <f>IF(B887="", "", "10090")</f>
        <v>0</v>
      </c>
      <c r="J887" s="2">
        <f>IF(B887="", "", "missing: not provided")</f>
        <v>0</v>
      </c>
      <c r="K887" s="1">
        <f>IF(B887="", "", "g")</f>
        <v>0</v>
      </c>
    </row>
    <row r="888" spans="1:11">
      <c r="A888">
        <f>IF(COUNTBLANK(B888:K888)&lt;&gt;COLUMNS(B888:K888),887,"")</f>
        <v>0</v>
      </c>
      <c r="C888" s="2">
        <f>IF(B888="", "", "missing: not provided")</f>
        <v>0</v>
      </c>
      <c r="D888" s="1">
        <f>IF(B888="", "", "weeks")</f>
        <v>0</v>
      </c>
      <c r="E888" s="1">
        <f>IF(B888="", "", "urban biome")</f>
        <v>0</v>
      </c>
      <c r="F888" s="1">
        <f>IF(B888="", "", "animal-associated habitat")</f>
        <v>0</v>
      </c>
      <c r="G888" s="1">
        <f>IF(B888="", "", "mouse")</f>
        <v>0</v>
      </c>
      <c r="H888" s="1">
        <f>IF(B888="", "", "Mus musculus")</f>
        <v>0</v>
      </c>
      <c r="I888" s="1">
        <f>IF(B888="", "", "10090")</f>
        <v>0</v>
      </c>
      <c r="J888" s="2">
        <f>IF(B888="", "", "missing: not provided")</f>
        <v>0</v>
      </c>
      <c r="K888" s="1">
        <f>IF(B888="", "", "g")</f>
        <v>0</v>
      </c>
    </row>
    <row r="889" spans="1:11">
      <c r="A889">
        <f>IF(COUNTBLANK(B889:K889)&lt;&gt;COLUMNS(B889:K889),888,"")</f>
        <v>0</v>
      </c>
      <c r="C889" s="2">
        <f>IF(B889="", "", "missing: not provided")</f>
        <v>0</v>
      </c>
      <c r="D889" s="1">
        <f>IF(B889="", "", "weeks")</f>
        <v>0</v>
      </c>
      <c r="E889" s="1">
        <f>IF(B889="", "", "urban biome")</f>
        <v>0</v>
      </c>
      <c r="F889" s="1">
        <f>IF(B889="", "", "animal-associated habitat")</f>
        <v>0</v>
      </c>
      <c r="G889" s="1">
        <f>IF(B889="", "", "mouse")</f>
        <v>0</v>
      </c>
      <c r="H889" s="1">
        <f>IF(B889="", "", "Mus musculus")</f>
        <v>0</v>
      </c>
      <c r="I889" s="1">
        <f>IF(B889="", "", "10090")</f>
        <v>0</v>
      </c>
      <c r="J889" s="2">
        <f>IF(B889="", "", "missing: not provided")</f>
        <v>0</v>
      </c>
      <c r="K889" s="1">
        <f>IF(B889="", "", "g")</f>
        <v>0</v>
      </c>
    </row>
    <row r="890" spans="1:11">
      <c r="A890">
        <f>IF(COUNTBLANK(B890:K890)&lt;&gt;COLUMNS(B890:K890),889,"")</f>
        <v>0</v>
      </c>
      <c r="C890" s="2">
        <f>IF(B890="", "", "missing: not provided")</f>
        <v>0</v>
      </c>
      <c r="D890" s="1">
        <f>IF(B890="", "", "weeks")</f>
        <v>0</v>
      </c>
      <c r="E890" s="1">
        <f>IF(B890="", "", "urban biome")</f>
        <v>0</v>
      </c>
      <c r="F890" s="1">
        <f>IF(B890="", "", "animal-associated habitat")</f>
        <v>0</v>
      </c>
      <c r="G890" s="1">
        <f>IF(B890="", "", "mouse")</f>
        <v>0</v>
      </c>
      <c r="H890" s="1">
        <f>IF(B890="", "", "Mus musculus")</f>
        <v>0</v>
      </c>
      <c r="I890" s="1">
        <f>IF(B890="", "", "10090")</f>
        <v>0</v>
      </c>
      <c r="J890" s="2">
        <f>IF(B890="", "", "missing: not provided")</f>
        <v>0</v>
      </c>
      <c r="K890" s="1">
        <f>IF(B890="", "", "g")</f>
        <v>0</v>
      </c>
    </row>
    <row r="891" spans="1:11">
      <c r="A891">
        <f>IF(COUNTBLANK(B891:K891)&lt;&gt;COLUMNS(B891:K891),890,"")</f>
        <v>0</v>
      </c>
      <c r="C891" s="2">
        <f>IF(B891="", "", "missing: not provided")</f>
        <v>0</v>
      </c>
      <c r="D891" s="1">
        <f>IF(B891="", "", "weeks")</f>
        <v>0</v>
      </c>
      <c r="E891" s="1">
        <f>IF(B891="", "", "urban biome")</f>
        <v>0</v>
      </c>
      <c r="F891" s="1">
        <f>IF(B891="", "", "animal-associated habitat")</f>
        <v>0</v>
      </c>
      <c r="G891" s="1">
        <f>IF(B891="", "", "mouse")</f>
        <v>0</v>
      </c>
      <c r="H891" s="1">
        <f>IF(B891="", "", "Mus musculus")</f>
        <v>0</v>
      </c>
      <c r="I891" s="1">
        <f>IF(B891="", "", "10090")</f>
        <v>0</v>
      </c>
      <c r="J891" s="2">
        <f>IF(B891="", "", "missing: not provided")</f>
        <v>0</v>
      </c>
      <c r="K891" s="1">
        <f>IF(B891="", "", "g")</f>
        <v>0</v>
      </c>
    </row>
    <row r="892" spans="1:11">
      <c r="A892">
        <f>IF(COUNTBLANK(B892:K892)&lt;&gt;COLUMNS(B892:K892),891,"")</f>
        <v>0</v>
      </c>
      <c r="C892" s="2">
        <f>IF(B892="", "", "missing: not provided")</f>
        <v>0</v>
      </c>
      <c r="D892" s="1">
        <f>IF(B892="", "", "weeks")</f>
        <v>0</v>
      </c>
      <c r="E892" s="1">
        <f>IF(B892="", "", "urban biome")</f>
        <v>0</v>
      </c>
      <c r="F892" s="1">
        <f>IF(B892="", "", "animal-associated habitat")</f>
        <v>0</v>
      </c>
      <c r="G892" s="1">
        <f>IF(B892="", "", "mouse")</f>
        <v>0</v>
      </c>
      <c r="H892" s="1">
        <f>IF(B892="", "", "Mus musculus")</f>
        <v>0</v>
      </c>
      <c r="I892" s="1">
        <f>IF(B892="", "", "10090")</f>
        <v>0</v>
      </c>
      <c r="J892" s="2">
        <f>IF(B892="", "", "missing: not provided")</f>
        <v>0</v>
      </c>
      <c r="K892" s="1">
        <f>IF(B892="", "", "g")</f>
        <v>0</v>
      </c>
    </row>
    <row r="893" spans="1:11">
      <c r="A893">
        <f>IF(COUNTBLANK(B893:K893)&lt;&gt;COLUMNS(B893:K893),892,"")</f>
        <v>0</v>
      </c>
      <c r="C893" s="2">
        <f>IF(B893="", "", "missing: not provided")</f>
        <v>0</v>
      </c>
      <c r="D893" s="1">
        <f>IF(B893="", "", "weeks")</f>
        <v>0</v>
      </c>
      <c r="E893" s="1">
        <f>IF(B893="", "", "urban biome")</f>
        <v>0</v>
      </c>
      <c r="F893" s="1">
        <f>IF(B893="", "", "animal-associated habitat")</f>
        <v>0</v>
      </c>
      <c r="G893" s="1">
        <f>IF(B893="", "", "mouse")</f>
        <v>0</v>
      </c>
      <c r="H893" s="1">
        <f>IF(B893="", "", "Mus musculus")</f>
        <v>0</v>
      </c>
      <c r="I893" s="1">
        <f>IF(B893="", "", "10090")</f>
        <v>0</v>
      </c>
      <c r="J893" s="2">
        <f>IF(B893="", "", "missing: not provided")</f>
        <v>0</v>
      </c>
      <c r="K893" s="1">
        <f>IF(B893="", "", "g")</f>
        <v>0</v>
      </c>
    </row>
    <row r="894" spans="1:11">
      <c r="A894">
        <f>IF(COUNTBLANK(B894:K894)&lt;&gt;COLUMNS(B894:K894),893,"")</f>
        <v>0</v>
      </c>
      <c r="C894" s="2">
        <f>IF(B894="", "", "missing: not provided")</f>
        <v>0</v>
      </c>
      <c r="D894" s="1">
        <f>IF(B894="", "", "weeks")</f>
        <v>0</v>
      </c>
      <c r="E894" s="1">
        <f>IF(B894="", "", "urban biome")</f>
        <v>0</v>
      </c>
      <c r="F894" s="1">
        <f>IF(B894="", "", "animal-associated habitat")</f>
        <v>0</v>
      </c>
      <c r="G894" s="1">
        <f>IF(B894="", "", "mouse")</f>
        <v>0</v>
      </c>
      <c r="H894" s="1">
        <f>IF(B894="", "", "Mus musculus")</f>
        <v>0</v>
      </c>
      <c r="I894" s="1">
        <f>IF(B894="", "", "10090")</f>
        <v>0</v>
      </c>
      <c r="J894" s="2">
        <f>IF(B894="", "", "missing: not provided")</f>
        <v>0</v>
      </c>
      <c r="K894" s="1">
        <f>IF(B894="", "", "g")</f>
        <v>0</v>
      </c>
    </row>
    <row r="895" spans="1:11">
      <c r="A895">
        <f>IF(COUNTBLANK(B895:K895)&lt;&gt;COLUMNS(B895:K895),894,"")</f>
        <v>0</v>
      </c>
      <c r="C895" s="2">
        <f>IF(B895="", "", "missing: not provided")</f>
        <v>0</v>
      </c>
      <c r="D895" s="1">
        <f>IF(B895="", "", "weeks")</f>
        <v>0</v>
      </c>
      <c r="E895" s="1">
        <f>IF(B895="", "", "urban biome")</f>
        <v>0</v>
      </c>
      <c r="F895" s="1">
        <f>IF(B895="", "", "animal-associated habitat")</f>
        <v>0</v>
      </c>
      <c r="G895" s="1">
        <f>IF(B895="", "", "mouse")</f>
        <v>0</v>
      </c>
      <c r="H895" s="1">
        <f>IF(B895="", "", "Mus musculus")</f>
        <v>0</v>
      </c>
      <c r="I895" s="1">
        <f>IF(B895="", "", "10090")</f>
        <v>0</v>
      </c>
      <c r="J895" s="2">
        <f>IF(B895="", "", "missing: not provided")</f>
        <v>0</v>
      </c>
      <c r="K895" s="1">
        <f>IF(B895="", "", "g")</f>
        <v>0</v>
      </c>
    </row>
    <row r="896" spans="1:11">
      <c r="A896">
        <f>IF(COUNTBLANK(B896:K896)&lt;&gt;COLUMNS(B896:K896),895,"")</f>
        <v>0</v>
      </c>
      <c r="C896" s="2">
        <f>IF(B896="", "", "missing: not provided")</f>
        <v>0</v>
      </c>
      <c r="D896" s="1">
        <f>IF(B896="", "", "weeks")</f>
        <v>0</v>
      </c>
      <c r="E896" s="1">
        <f>IF(B896="", "", "urban biome")</f>
        <v>0</v>
      </c>
      <c r="F896" s="1">
        <f>IF(B896="", "", "animal-associated habitat")</f>
        <v>0</v>
      </c>
      <c r="G896" s="1">
        <f>IF(B896="", "", "mouse")</f>
        <v>0</v>
      </c>
      <c r="H896" s="1">
        <f>IF(B896="", "", "Mus musculus")</f>
        <v>0</v>
      </c>
      <c r="I896" s="1">
        <f>IF(B896="", "", "10090")</f>
        <v>0</v>
      </c>
      <c r="J896" s="2">
        <f>IF(B896="", "", "missing: not provided")</f>
        <v>0</v>
      </c>
      <c r="K896" s="1">
        <f>IF(B896="", "", "g")</f>
        <v>0</v>
      </c>
    </row>
    <row r="897" spans="1:11">
      <c r="A897">
        <f>IF(COUNTBLANK(B897:K897)&lt;&gt;COLUMNS(B897:K897),896,"")</f>
        <v>0</v>
      </c>
      <c r="C897" s="2">
        <f>IF(B897="", "", "missing: not provided")</f>
        <v>0</v>
      </c>
      <c r="D897" s="1">
        <f>IF(B897="", "", "weeks")</f>
        <v>0</v>
      </c>
      <c r="E897" s="1">
        <f>IF(B897="", "", "urban biome")</f>
        <v>0</v>
      </c>
      <c r="F897" s="1">
        <f>IF(B897="", "", "animal-associated habitat")</f>
        <v>0</v>
      </c>
      <c r="G897" s="1">
        <f>IF(B897="", "", "mouse")</f>
        <v>0</v>
      </c>
      <c r="H897" s="1">
        <f>IF(B897="", "", "Mus musculus")</f>
        <v>0</v>
      </c>
      <c r="I897" s="1">
        <f>IF(B897="", "", "10090")</f>
        <v>0</v>
      </c>
      <c r="J897" s="2">
        <f>IF(B897="", "", "missing: not provided")</f>
        <v>0</v>
      </c>
      <c r="K897" s="1">
        <f>IF(B897="", "", "g")</f>
        <v>0</v>
      </c>
    </row>
    <row r="898" spans="1:11">
      <c r="A898">
        <f>IF(COUNTBLANK(B898:K898)&lt;&gt;COLUMNS(B898:K898),897,"")</f>
        <v>0</v>
      </c>
      <c r="C898" s="2">
        <f>IF(B898="", "", "missing: not provided")</f>
        <v>0</v>
      </c>
      <c r="D898" s="1">
        <f>IF(B898="", "", "weeks")</f>
        <v>0</v>
      </c>
      <c r="E898" s="1">
        <f>IF(B898="", "", "urban biome")</f>
        <v>0</v>
      </c>
      <c r="F898" s="1">
        <f>IF(B898="", "", "animal-associated habitat")</f>
        <v>0</v>
      </c>
      <c r="G898" s="1">
        <f>IF(B898="", "", "mouse")</f>
        <v>0</v>
      </c>
      <c r="H898" s="1">
        <f>IF(B898="", "", "Mus musculus")</f>
        <v>0</v>
      </c>
      <c r="I898" s="1">
        <f>IF(B898="", "", "10090")</f>
        <v>0</v>
      </c>
      <c r="J898" s="2">
        <f>IF(B898="", "", "missing: not provided")</f>
        <v>0</v>
      </c>
      <c r="K898" s="1">
        <f>IF(B898="", "", "g")</f>
        <v>0</v>
      </c>
    </row>
    <row r="899" spans="1:11">
      <c r="A899">
        <f>IF(COUNTBLANK(B899:K899)&lt;&gt;COLUMNS(B899:K899),898,"")</f>
        <v>0</v>
      </c>
      <c r="C899" s="2">
        <f>IF(B899="", "", "missing: not provided")</f>
        <v>0</v>
      </c>
      <c r="D899" s="1">
        <f>IF(B899="", "", "weeks")</f>
        <v>0</v>
      </c>
      <c r="E899" s="1">
        <f>IF(B899="", "", "urban biome")</f>
        <v>0</v>
      </c>
      <c r="F899" s="1">
        <f>IF(B899="", "", "animal-associated habitat")</f>
        <v>0</v>
      </c>
      <c r="G899" s="1">
        <f>IF(B899="", "", "mouse")</f>
        <v>0</v>
      </c>
      <c r="H899" s="1">
        <f>IF(B899="", "", "Mus musculus")</f>
        <v>0</v>
      </c>
      <c r="I899" s="1">
        <f>IF(B899="", "", "10090")</f>
        <v>0</v>
      </c>
      <c r="J899" s="2">
        <f>IF(B899="", "", "missing: not provided")</f>
        <v>0</v>
      </c>
      <c r="K899" s="1">
        <f>IF(B899="", "", "g")</f>
        <v>0</v>
      </c>
    </row>
    <row r="900" spans="1:11">
      <c r="A900">
        <f>IF(COUNTBLANK(B900:K900)&lt;&gt;COLUMNS(B900:K900),899,"")</f>
        <v>0</v>
      </c>
      <c r="C900" s="2">
        <f>IF(B900="", "", "missing: not provided")</f>
        <v>0</v>
      </c>
      <c r="D900" s="1">
        <f>IF(B900="", "", "weeks")</f>
        <v>0</v>
      </c>
      <c r="E900" s="1">
        <f>IF(B900="", "", "urban biome")</f>
        <v>0</v>
      </c>
      <c r="F900" s="1">
        <f>IF(B900="", "", "animal-associated habitat")</f>
        <v>0</v>
      </c>
      <c r="G900" s="1">
        <f>IF(B900="", "", "mouse")</f>
        <v>0</v>
      </c>
      <c r="H900" s="1">
        <f>IF(B900="", "", "Mus musculus")</f>
        <v>0</v>
      </c>
      <c r="I900" s="1">
        <f>IF(B900="", "", "10090")</f>
        <v>0</v>
      </c>
      <c r="J900" s="2">
        <f>IF(B900="", "", "missing: not provided")</f>
        <v>0</v>
      </c>
      <c r="K900" s="1">
        <f>IF(B900="", "", "g")</f>
        <v>0</v>
      </c>
    </row>
    <row r="901" spans="1:11">
      <c r="A901">
        <f>IF(COUNTBLANK(B901:K901)&lt;&gt;COLUMNS(B901:K901),900,"")</f>
        <v>0</v>
      </c>
      <c r="C901" s="2">
        <f>IF(B901="", "", "missing: not provided")</f>
        <v>0</v>
      </c>
      <c r="D901" s="1">
        <f>IF(B901="", "", "weeks")</f>
        <v>0</v>
      </c>
      <c r="E901" s="1">
        <f>IF(B901="", "", "urban biome")</f>
        <v>0</v>
      </c>
      <c r="F901" s="1">
        <f>IF(B901="", "", "animal-associated habitat")</f>
        <v>0</v>
      </c>
      <c r="G901" s="1">
        <f>IF(B901="", "", "mouse")</f>
        <v>0</v>
      </c>
      <c r="H901" s="1">
        <f>IF(B901="", "", "Mus musculus")</f>
        <v>0</v>
      </c>
      <c r="I901" s="1">
        <f>IF(B901="", "", "10090")</f>
        <v>0</v>
      </c>
      <c r="J901" s="2">
        <f>IF(B901="", "", "missing: not provided")</f>
        <v>0</v>
      </c>
      <c r="K901" s="1">
        <f>IF(B901="", "", "g")</f>
        <v>0</v>
      </c>
    </row>
    <row r="902" spans="1:11">
      <c r="A902">
        <f>IF(COUNTBLANK(B902:K902)&lt;&gt;COLUMNS(B902:K902),901,"")</f>
        <v>0</v>
      </c>
      <c r="C902" s="2">
        <f>IF(B902="", "", "missing: not provided")</f>
        <v>0</v>
      </c>
      <c r="D902" s="1">
        <f>IF(B902="", "", "weeks")</f>
        <v>0</v>
      </c>
      <c r="E902" s="1">
        <f>IF(B902="", "", "urban biome")</f>
        <v>0</v>
      </c>
      <c r="F902" s="1">
        <f>IF(B902="", "", "animal-associated habitat")</f>
        <v>0</v>
      </c>
      <c r="G902" s="1">
        <f>IF(B902="", "", "mouse")</f>
        <v>0</v>
      </c>
      <c r="H902" s="1">
        <f>IF(B902="", "", "Mus musculus")</f>
        <v>0</v>
      </c>
      <c r="I902" s="1">
        <f>IF(B902="", "", "10090")</f>
        <v>0</v>
      </c>
      <c r="J902" s="2">
        <f>IF(B902="", "", "missing: not provided")</f>
        <v>0</v>
      </c>
      <c r="K902" s="1">
        <f>IF(B902="", "", "g")</f>
        <v>0</v>
      </c>
    </row>
    <row r="903" spans="1:11">
      <c r="A903">
        <f>IF(COUNTBLANK(B903:K903)&lt;&gt;COLUMNS(B903:K903),902,"")</f>
        <v>0</v>
      </c>
      <c r="C903" s="2">
        <f>IF(B903="", "", "missing: not provided")</f>
        <v>0</v>
      </c>
      <c r="D903" s="1">
        <f>IF(B903="", "", "weeks")</f>
        <v>0</v>
      </c>
      <c r="E903" s="1">
        <f>IF(B903="", "", "urban biome")</f>
        <v>0</v>
      </c>
      <c r="F903" s="1">
        <f>IF(B903="", "", "animal-associated habitat")</f>
        <v>0</v>
      </c>
      <c r="G903" s="1">
        <f>IF(B903="", "", "mouse")</f>
        <v>0</v>
      </c>
      <c r="H903" s="1">
        <f>IF(B903="", "", "Mus musculus")</f>
        <v>0</v>
      </c>
      <c r="I903" s="1">
        <f>IF(B903="", "", "10090")</f>
        <v>0</v>
      </c>
      <c r="J903" s="2">
        <f>IF(B903="", "", "missing: not provided")</f>
        <v>0</v>
      </c>
      <c r="K903" s="1">
        <f>IF(B903="", "", "g")</f>
        <v>0</v>
      </c>
    </row>
    <row r="904" spans="1:11">
      <c r="A904">
        <f>IF(COUNTBLANK(B904:K904)&lt;&gt;COLUMNS(B904:K904),903,"")</f>
        <v>0</v>
      </c>
      <c r="C904" s="2">
        <f>IF(B904="", "", "missing: not provided")</f>
        <v>0</v>
      </c>
      <c r="D904" s="1">
        <f>IF(B904="", "", "weeks")</f>
        <v>0</v>
      </c>
      <c r="E904" s="1">
        <f>IF(B904="", "", "urban biome")</f>
        <v>0</v>
      </c>
      <c r="F904" s="1">
        <f>IF(B904="", "", "animal-associated habitat")</f>
        <v>0</v>
      </c>
      <c r="G904" s="1">
        <f>IF(B904="", "", "mouse")</f>
        <v>0</v>
      </c>
      <c r="H904" s="1">
        <f>IF(B904="", "", "Mus musculus")</f>
        <v>0</v>
      </c>
      <c r="I904" s="1">
        <f>IF(B904="", "", "10090")</f>
        <v>0</v>
      </c>
      <c r="J904" s="2">
        <f>IF(B904="", "", "missing: not provided")</f>
        <v>0</v>
      </c>
      <c r="K904" s="1">
        <f>IF(B904="", "", "g")</f>
        <v>0</v>
      </c>
    </row>
    <row r="905" spans="1:11">
      <c r="A905">
        <f>IF(COUNTBLANK(B905:K905)&lt;&gt;COLUMNS(B905:K905),904,"")</f>
        <v>0</v>
      </c>
      <c r="C905" s="2">
        <f>IF(B905="", "", "missing: not provided")</f>
        <v>0</v>
      </c>
      <c r="D905" s="1">
        <f>IF(B905="", "", "weeks")</f>
        <v>0</v>
      </c>
      <c r="E905" s="1">
        <f>IF(B905="", "", "urban biome")</f>
        <v>0</v>
      </c>
      <c r="F905" s="1">
        <f>IF(B905="", "", "animal-associated habitat")</f>
        <v>0</v>
      </c>
      <c r="G905" s="1">
        <f>IF(B905="", "", "mouse")</f>
        <v>0</v>
      </c>
      <c r="H905" s="1">
        <f>IF(B905="", "", "Mus musculus")</f>
        <v>0</v>
      </c>
      <c r="I905" s="1">
        <f>IF(B905="", "", "10090")</f>
        <v>0</v>
      </c>
      <c r="J905" s="2">
        <f>IF(B905="", "", "missing: not provided")</f>
        <v>0</v>
      </c>
      <c r="K905" s="1">
        <f>IF(B905="", "", "g")</f>
        <v>0</v>
      </c>
    </row>
    <row r="906" spans="1:11">
      <c r="A906">
        <f>IF(COUNTBLANK(B906:K906)&lt;&gt;COLUMNS(B906:K906),905,"")</f>
        <v>0</v>
      </c>
      <c r="C906" s="2">
        <f>IF(B906="", "", "missing: not provided")</f>
        <v>0</v>
      </c>
      <c r="D906" s="1">
        <f>IF(B906="", "", "weeks")</f>
        <v>0</v>
      </c>
      <c r="E906" s="1">
        <f>IF(B906="", "", "urban biome")</f>
        <v>0</v>
      </c>
      <c r="F906" s="1">
        <f>IF(B906="", "", "animal-associated habitat")</f>
        <v>0</v>
      </c>
      <c r="G906" s="1">
        <f>IF(B906="", "", "mouse")</f>
        <v>0</v>
      </c>
      <c r="H906" s="1">
        <f>IF(B906="", "", "Mus musculus")</f>
        <v>0</v>
      </c>
      <c r="I906" s="1">
        <f>IF(B906="", "", "10090")</f>
        <v>0</v>
      </c>
      <c r="J906" s="2">
        <f>IF(B906="", "", "missing: not provided")</f>
        <v>0</v>
      </c>
      <c r="K906" s="1">
        <f>IF(B906="", "", "g")</f>
        <v>0</v>
      </c>
    </row>
    <row r="907" spans="1:11">
      <c r="A907">
        <f>IF(COUNTBLANK(B907:K907)&lt;&gt;COLUMNS(B907:K907),906,"")</f>
        <v>0</v>
      </c>
      <c r="C907" s="2">
        <f>IF(B907="", "", "missing: not provided")</f>
        <v>0</v>
      </c>
      <c r="D907" s="1">
        <f>IF(B907="", "", "weeks")</f>
        <v>0</v>
      </c>
      <c r="E907" s="1">
        <f>IF(B907="", "", "urban biome")</f>
        <v>0</v>
      </c>
      <c r="F907" s="1">
        <f>IF(B907="", "", "animal-associated habitat")</f>
        <v>0</v>
      </c>
      <c r="G907" s="1">
        <f>IF(B907="", "", "mouse")</f>
        <v>0</v>
      </c>
      <c r="H907" s="1">
        <f>IF(B907="", "", "Mus musculus")</f>
        <v>0</v>
      </c>
      <c r="I907" s="1">
        <f>IF(B907="", "", "10090")</f>
        <v>0</v>
      </c>
      <c r="J907" s="2">
        <f>IF(B907="", "", "missing: not provided")</f>
        <v>0</v>
      </c>
      <c r="K907" s="1">
        <f>IF(B907="", "", "g")</f>
        <v>0</v>
      </c>
    </row>
    <row r="908" spans="1:11">
      <c r="A908">
        <f>IF(COUNTBLANK(B908:K908)&lt;&gt;COLUMNS(B908:K908),907,"")</f>
        <v>0</v>
      </c>
      <c r="C908" s="2">
        <f>IF(B908="", "", "missing: not provided")</f>
        <v>0</v>
      </c>
      <c r="D908" s="1">
        <f>IF(B908="", "", "weeks")</f>
        <v>0</v>
      </c>
      <c r="E908" s="1">
        <f>IF(B908="", "", "urban biome")</f>
        <v>0</v>
      </c>
      <c r="F908" s="1">
        <f>IF(B908="", "", "animal-associated habitat")</f>
        <v>0</v>
      </c>
      <c r="G908" s="1">
        <f>IF(B908="", "", "mouse")</f>
        <v>0</v>
      </c>
      <c r="H908" s="1">
        <f>IF(B908="", "", "Mus musculus")</f>
        <v>0</v>
      </c>
      <c r="I908" s="1">
        <f>IF(B908="", "", "10090")</f>
        <v>0</v>
      </c>
      <c r="J908" s="2">
        <f>IF(B908="", "", "missing: not provided")</f>
        <v>0</v>
      </c>
      <c r="K908" s="1">
        <f>IF(B908="", "", "g")</f>
        <v>0</v>
      </c>
    </row>
    <row r="909" spans="1:11">
      <c r="A909">
        <f>IF(COUNTBLANK(B909:K909)&lt;&gt;COLUMNS(B909:K909),908,"")</f>
        <v>0</v>
      </c>
      <c r="C909" s="2">
        <f>IF(B909="", "", "missing: not provided")</f>
        <v>0</v>
      </c>
      <c r="D909" s="1">
        <f>IF(B909="", "", "weeks")</f>
        <v>0</v>
      </c>
      <c r="E909" s="1">
        <f>IF(B909="", "", "urban biome")</f>
        <v>0</v>
      </c>
      <c r="F909" s="1">
        <f>IF(B909="", "", "animal-associated habitat")</f>
        <v>0</v>
      </c>
      <c r="G909" s="1">
        <f>IF(B909="", "", "mouse")</f>
        <v>0</v>
      </c>
      <c r="H909" s="1">
        <f>IF(B909="", "", "Mus musculus")</f>
        <v>0</v>
      </c>
      <c r="I909" s="1">
        <f>IF(B909="", "", "10090")</f>
        <v>0</v>
      </c>
      <c r="J909" s="2">
        <f>IF(B909="", "", "missing: not provided")</f>
        <v>0</v>
      </c>
      <c r="K909" s="1">
        <f>IF(B909="", "", "g")</f>
        <v>0</v>
      </c>
    </row>
    <row r="910" spans="1:11">
      <c r="A910">
        <f>IF(COUNTBLANK(B910:K910)&lt;&gt;COLUMNS(B910:K910),909,"")</f>
        <v>0</v>
      </c>
      <c r="C910" s="2">
        <f>IF(B910="", "", "missing: not provided")</f>
        <v>0</v>
      </c>
      <c r="D910" s="1">
        <f>IF(B910="", "", "weeks")</f>
        <v>0</v>
      </c>
      <c r="E910" s="1">
        <f>IF(B910="", "", "urban biome")</f>
        <v>0</v>
      </c>
      <c r="F910" s="1">
        <f>IF(B910="", "", "animal-associated habitat")</f>
        <v>0</v>
      </c>
      <c r="G910" s="1">
        <f>IF(B910="", "", "mouse")</f>
        <v>0</v>
      </c>
      <c r="H910" s="1">
        <f>IF(B910="", "", "Mus musculus")</f>
        <v>0</v>
      </c>
      <c r="I910" s="1">
        <f>IF(B910="", "", "10090")</f>
        <v>0</v>
      </c>
      <c r="J910" s="2">
        <f>IF(B910="", "", "missing: not provided")</f>
        <v>0</v>
      </c>
      <c r="K910" s="1">
        <f>IF(B910="", "", "g")</f>
        <v>0</v>
      </c>
    </row>
    <row r="911" spans="1:11">
      <c r="A911">
        <f>IF(COUNTBLANK(B911:K911)&lt;&gt;COLUMNS(B911:K911),910,"")</f>
        <v>0</v>
      </c>
      <c r="C911" s="2">
        <f>IF(B911="", "", "missing: not provided")</f>
        <v>0</v>
      </c>
      <c r="D911" s="1">
        <f>IF(B911="", "", "weeks")</f>
        <v>0</v>
      </c>
      <c r="E911" s="1">
        <f>IF(B911="", "", "urban biome")</f>
        <v>0</v>
      </c>
      <c r="F911" s="1">
        <f>IF(B911="", "", "animal-associated habitat")</f>
        <v>0</v>
      </c>
      <c r="G911" s="1">
        <f>IF(B911="", "", "mouse")</f>
        <v>0</v>
      </c>
      <c r="H911" s="1">
        <f>IF(B911="", "", "Mus musculus")</f>
        <v>0</v>
      </c>
      <c r="I911" s="1">
        <f>IF(B911="", "", "10090")</f>
        <v>0</v>
      </c>
      <c r="J911" s="2">
        <f>IF(B911="", "", "missing: not provided")</f>
        <v>0</v>
      </c>
      <c r="K911" s="1">
        <f>IF(B911="", "", "g")</f>
        <v>0</v>
      </c>
    </row>
    <row r="912" spans="1:11">
      <c r="A912">
        <f>IF(COUNTBLANK(B912:K912)&lt;&gt;COLUMNS(B912:K912),911,"")</f>
        <v>0</v>
      </c>
      <c r="C912" s="2">
        <f>IF(B912="", "", "missing: not provided")</f>
        <v>0</v>
      </c>
      <c r="D912" s="1">
        <f>IF(B912="", "", "weeks")</f>
        <v>0</v>
      </c>
      <c r="E912" s="1">
        <f>IF(B912="", "", "urban biome")</f>
        <v>0</v>
      </c>
      <c r="F912" s="1">
        <f>IF(B912="", "", "animal-associated habitat")</f>
        <v>0</v>
      </c>
      <c r="G912" s="1">
        <f>IF(B912="", "", "mouse")</f>
        <v>0</v>
      </c>
      <c r="H912" s="1">
        <f>IF(B912="", "", "Mus musculus")</f>
        <v>0</v>
      </c>
      <c r="I912" s="1">
        <f>IF(B912="", "", "10090")</f>
        <v>0</v>
      </c>
      <c r="J912" s="2">
        <f>IF(B912="", "", "missing: not provided")</f>
        <v>0</v>
      </c>
      <c r="K912" s="1">
        <f>IF(B912="", "", "g")</f>
        <v>0</v>
      </c>
    </row>
    <row r="913" spans="1:11">
      <c r="A913">
        <f>IF(COUNTBLANK(B913:K913)&lt;&gt;COLUMNS(B913:K913),912,"")</f>
        <v>0</v>
      </c>
      <c r="C913" s="2">
        <f>IF(B913="", "", "missing: not provided")</f>
        <v>0</v>
      </c>
      <c r="D913" s="1">
        <f>IF(B913="", "", "weeks")</f>
        <v>0</v>
      </c>
      <c r="E913" s="1">
        <f>IF(B913="", "", "urban biome")</f>
        <v>0</v>
      </c>
      <c r="F913" s="1">
        <f>IF(B913="", "", "animal-associated habitat")</f>
        <v>0</v>
      </c>
      <c r="G913" s="1">
        <f>IF(B913="", "", "mouse")</f>
        <v>0</v>
      </c>
      <c r="H913" s="1">
        <f>IF(B913="", "", "Mus musculus")</f>
        <v>0</v>
      </c>
      <c r="I913" s="1">
        <f>IF(B913="", "", "10090")</f>
        <v>0</v>
      </c>
      <c r="J913" s="2">
        <f>IF(B913="", "", "missing: not provided")</f>
        <v>0</v>
      </c>
      <c r="K913" s="1">
        <f>IF(B913="", "", "g")</f>
        <v>0</v>
      </c>
    </row>
    <row r="914" spans="1:11">
      <c r="A914">
        <f>IF(COUNTBLANK(B914:K914)&lt;&gt;COLUMNS(B914:K914),913,"")</f>
        <v>0</v>
      </c>
      <c r="C914" s="2">
        <f>IF(B914="", "", "missing: not provided")</f>
        <v>0</v>
      </c>
      <c r="D914" s="1">
        <f>IF(B914="", "", "weeks")</f>
        <v>0</v>
      </c>
      <c r="E914" s="1">
        <f>IF(B914="", "", "urban biome")</f>
        <v>0</v>
      </c>
      <c r="F914" s="1">
        <f>IF(B914="", "", "animal-associated habitat")</f>
        <v>0</v>
      </c>
      <c r="G914" s="1">
        <f>IF(B914="", "", "mouse")</f>
        <v>0</v>
      </c>
      <c r="H914" s="1">
        <f>IF(B914="", "", "Mus musculus")</f>
        <v>0</v>
      </c>
      <c r="I914" s="1">
        <f>IF(B914="", "", "10090")</f>
        <v>0</v>
      </c>
      <c r="J914" s="2">
        <f>IF(B914="", "", "missing: not provided")</f>
        <v>0</v>
      </c>
      <c r="K914" s="1">
        <f>IF(B914="", "", "g")</f>
        <v>0</v>
      </c>
    </row>
    <row r="915" spans="1:11">
      <c r="A915">
        <f>IF(COUNTBLANK(B915:K915)&lt;&gt;COLUMNS(B915:K915),914,"")</f>
        <v>0</v>
      </c>
      <c r="C915" s="2">
        <f>IF(B915="", "", "missing: not provided")</f>
        <v>0</v>
      </c>
      <c r="D915" s="1">
        <f>IF(B915="", "", "weeks")</f>
        <v>0</v>
      </c>
      <c r="E915" s="1">
        <f>IF(B915="", "", "urban biome")</f>
        <v>0</v>
      </c>
      <c r="F915" s="1">
        <f>IF(B915="", "", "animal-associated habitat")</f>
        <v>0</v>
      </c>
      <c r="G915" s="1">
        <f>IF(B915="", "", "mouse")</f>
        <v>0</v>
      </c>
      <c r="H915" s="1">
        <f>IF(B915="", "", "Mus musculus")</f>
        <v>0</v>
      </c>
      <c r="I915" s="1">
        <f>IF(B915="", "", "10090")</f>
        <v>0</v>
      </c>
      <c r="J915" s="2">
        <f>IF(B915="", "", "missing: not provided")</f>
        <v>0</v>
      </c>
      <c r="K915" s="1">
        <f>IF(B915="", "", "g")</f>
        <v>0</v>
      </c>
    </row>
    <row r="916" spans="1:11">
      <c r="A916">
        <f>IF(COUNTBLANK(B916:K916)&lt;&gt;COLUMNS(B916:K916),915,"")</f>
        <v>0</v>
      </c>
      <c r="C916" s="2">
        <f>IF(B916="", "", "missing: not provided")</f>
        <v>0</v>
      </c>
      <c r="D916" s="1">
        <f>IF(B916="", "", "weeks")</f>
        <v>0</v>
      </c>
      <c r="E916" s="1">
        <f>IF(B916="", "", "urban biome")</f>
        <v>0</v>
      </c>
      <c r="F916" s="1">
        <f>IF(B916="", "", "animal-associated habitat")</f>
        <v>0</v>
      </c>
      <c r="G916" s="1">
        <f>IF(B916="", "", "mouse")</f>
        <v>0</v>
      </c>
      <c r="H916" s="1">
        <f>IF(B916="", "", "Mus musculus")</f>
        <v>0</v>
      </c>
      <c r="I916" s="1">
        <f>IF(B916="", "", "10090")</f>
        <v>0</v>
      </c>
      <c r="J916" s="2">
        <f>IF(B916="", "", "missing: not provided")</f>
        <v>0</v>
      </c>
      <c r="K916" s="1">
        <f>IF(B916="", "", "g")</f>
        <v>0</v>
      </c>
    </row>
    <row r="917" spans="1:11">
      <c r="A917">
        <f>IF(COUNTBLANK(B917:K917)&lt;&gt;COLUMNS(B917:K917),916,"")</f>
        <v>0</v>
      </c>
      <c r="C917" s="2">
        <f>IF(B917="", "", "missing: not provided")</f>
        <v>0</v>
      </c>
      <c r="D917" s="1">
        <f>IF(B917="", "", "weeks")</f>
        <v>0</v>
      </c>
      <c r="E917" s="1">
        <f>IF(B917="", "", "urban biome")</f>
        <v>0</v>
      </c>
      <c r="F917" s="1">
        <f>IF(B917="", "", "animal-associated habitat")</f>
        <v>0</v>
      </c>
      <c r="G917" s="1">
        <f>IF(B917="", "", "mouse")</f>
        <v>0</v>
      </c>
      <c r="H917" s="1">
        <f>IF(B917="", "", "Mus musculus")</f>
        <v>0</v>
      </c>
      <c r="I917" s="1">
        <f>IF(B917="", "", "10090")</f>
        <v>0</v>
      </c>
      <c r="J917" s="2">
        <f>IF(B917="", "", "missing: not provided")</f>
        <v>0</v>
      </c>
      <c r="K917" s="1">
        <f>IF(B917="", "", "g")</f>
        <v>0</v>
      </c>
    </row>
    <row r="918" spans="1:11">
      <c r="A918">
        <f>IF(COUNTBLANK(B918:K918)&lt;&gt;COLUMNS(B918:K918),917,"")</f>
        <v>0</v>
      </c>
      <c r="C918" s="2">
        <f>IF(B918="", "", "missing: not provided")</f>
        <v>0</v>
      </c>
      <c r="D918" s="1">
        <f>IF(B918="", "", "weeks")</f>
        <v>0</v>
      </c>
      <c r="E918" s="1">
        <f>IF(B918="", "", "urban biome")</f>
        <v>0</v>
      </c>
      <c r="F918" s="1">
        <f>IF(B918="", "", "animal-associated habitat")</f>
        <v>0</v>
      </c>
      <c r="G918" s="1">
        <f>IF(B918="", "", "mouse")</f>
        <v>0</v>
      </c>
      <c r="H918" s="1">
        <f>IF(B918="", "", "Mus musculus")</f>
        <v>0</v>
      </c>
      <c r="I918" s="1">
        <f>IF(B918="", "", "10090")</f>
        <v>0</v>
      </c>
      <c r="J918" s="2">
        <f>IF(B918="", "", "missing: not provided")</f>
        <v>0</v>
      </c>
      <c r="K918" s="1">
        <f>IF(B918="", "", "g")</f>
        <v>0</v>
      </c>
    </row>
    <row r="919" spans="1:11">
      <c r="A919">
        <f>IF(COUNTBLANK(B919:K919)&lt;&gt;COLUMNS(B919:K919),918,"")</f>
        <v>0</v>
      </c>
      <c r="C919" s="2">
        <f>IF(B919="", "", "missing: not provided")</f>
        <v>0</v>
      </c>
      <c r="D919" s="1">
        <f>IF(B919="", "", "weeks")</f>
        <v>0</v>
      </c>
      <c r="E919" s="1">
        <f>IF(B919="", "", "urban biome")</f>
        <v>0</v>
      </c>
      <c r="F919" s="1">
        <f>IF(B919="", "", "animal-associated habitat")</f>
        <v>0</v>
      </c>
      <c r="G919" s="1">
        <f>IF(B919="", "", "mouse")</f>
        <v>0</v>
      </c>
      <c r="H919" s="1">
        <f>IF(B919="", "", "Mus musculus")</f>
        <v>0</v>
      </c>
      <c r="I919" s="1">
        <f>IF(B919="", "", "10090")</f>
        <v>0</v>
      </c>
      <c r="J919" s="2">
        <f>IF(B919="", "", "missing: not provided")</f>
        <v>0</v>
      </c>
      <c r="K919" s="1">
        <f>IF(B919="", "", "g")</f>
        <v>0</v>
      </c>
    </row>
    <row r="920" spans="1:11">
      <c r="A920">
        <f>IF(COUNTBLANK(B920:K920)&lt;&gt;COLUMNS(B920:K920),919,"")</f>
        <v>0</v>
      </c>
      <c r="C920" s="2">
        <f>IF(B920="", "", "missing: not provided")</f>
        <v>0</v>
      </c>
      <c r="D920" s="1">
        <f>IF(B920="", "", "weeks")</f>
        <v>0</v>
      </c>
      <c r="E920" s="1">
        <f>IF(B920="", "", "urban biome")</f>
        <v>0</v>
      </c>
      <c r="F920" s="1">
        <f>IF(B920="", "", "animal-associated habitat")</f>
        <v>0</v>
      </c>
      <c r="G920" s="1">
        <f>IF(B920="", "", "mouse")</f>
        <v>0</v>
      </c>
      <c r="H920" s="1">
        <f>IF(B920="", "", "Mus musculus")</f>
        <v>0</v>
      </c>
      <c r="I920" s="1">
        <f>IF(B920="", "", "10090")</f>
        <v>0</v>
      </c>
      <c r="J920" s="2">
        <f>IF(B920="", "", "missing: not provided")</f>
        <v>0</v>
      </c>
      <c r="K920" s="1">
        <f>IF(B920="", "", "g")</f>
        <v>0</v>
      </c>
    </row>
    <row r="921" spans="1:11">
      <c r="A921">
        <f>IF(COUNTBLANK(B921:K921)&lt;&gt;COLUMNS(B921:K921),920,"")</f>
        <v>0</v>
      </c>
      <c r="C921" s="2">
        <f>IF(B921="", "", "missing: not provided")</f>
        <v>0</v>
      </c>
      <c r="D921" s="1">
        <f>IF(B921="", "", "weeks")</f>
        <v>0</v>
      </c>
      <c r="E921" s="1">
        <f>IF(B921="", "", "urban biome")</f>
        <v>0</v>
      </c>
      <c r="F921" s="1">
        <f>IF(B921="", "", "animal-associated habitat")</f>
        <v>0</v>
      </c>
      <c r="G921" s="1">
        <f>IF(B921="", "", "mouse")</f>
        <v>0</v>
      </c>
      <c r="H921" s="1">
        <f>IF(B921="", "", "Mus musculus")</f>
        <v>0</v>
      </c>
      <c r="I921" s="1">
        <f>IF(B921="", "", "10090")</f>
        <v>0</v>
      </c>
      <c r="J921" s="2">
        <f>IF(B921="", "", "missing: not provided")</f>
        <v>0</v>
      </c>
      <c r="K921" s="1">
        <f>IF(B921="", "", "g")</f>
        <v>0</v>
      </c>
    </row>
    <row r="922" spans="1:11">
      <c r="A922">
        <f>IF(COUNTBLANK(B922:K922)&lt;&gt;COLUMNS(B922:K922),921,"")</f>
        <v>0</v>
      </c>
      <c r="C922" s="2">
        <f>IF(B922="", "", "missing: not provided")</f>
        <v>0</v>
      </c>
      <c r="D922" s="1">
        <f>IF(B922="", "", "weeks")</f>
        <v>0</v>
      </c>
      <c r="E922" s="1">
        <f>IF(B922="", "", "urban biome")</f>
        <v>0</v>
      </c>
      <c r="F922" s="1">
        <f>IF(B922="", "", "animal-associated habitat")</f>
        <v>0</v>
      </c>
      <c r="G922" s="1">
        <f>IF(B922="", "", "mouse")</f>
        <v>0</v>
      </c>
      <c r="H922" s="1">
        <f>IF(B922="", "", "Mus musculus")</f>
        <v>0</v>
      </c>
      <c r="I922" s="1">
        <f>IF(B922="", "", "10090")</f>
        <v>0</v>
      </c>
      <c r="J922" s="2">
        <f>IF(B922="", "", "missing: not provided")</f>
        <v>0</v>
      </c>
      <c r="K922" s="1">
        <f>IF(B922="", "", "g")</f>
        <v>0</v>
      </c>
    </row>
    <row r="923" spans="1:11">
      <c r="A923">
        <f>IF(COUNTBLANK(B923:K923)&lt;&gt;COLUMNS(B923:K923),922,"")</f>
        <v>0</v>
      </c>
      <c r="C923" s="2">
        <f>IF(B923="", "", "missing: not provided")</f>
        <v>0</v>
      </c>
      <c r="D923" s="1">
        <f>IF(B923="", "", "weeks")</f>
        <v>0</v>
      </c>
      <c r="E923" s="1">
        <f>IF(B923="", "", "urban biome")</f>
        <v>0</v>
      </c>
      <c r="F923" s="1">
        <f>IF(B923="", "", "animal-associated habitat")</f>
        <v>0</v>
      </c>
      <c r="G923" s="1">
        <f>IF(B923="", "", "mouse")</f>
        <v>0</v>
      </c>
      <c r="H923" s="1">
        <f>IF(B923="", "", "Mus musculus")</f>
        <v>0</v>
      </c>
      <c r="I923" s="1">
        <f>IF(B923="", "", "10090")</f>
        <v>0</v>
      </c>
      <c r="J923" s="2">
        <f>IF(B923="", "", "missing: not provided")</f>
        <v>0</v>
      </c>
      <c r="K923" s="1">
        <f>IF(B923="", "", "g")</f>
        <v>0</v>
      </c>
    </row>
    <row r="924" spans="1:11">
      <c r="A924">
        <f>IF(COUNTBLANK(B924:K924)&lt;&gt;COLUMNS(B924:K924),923,"")</f>
        <v>0</v>
      </c>
      <c r="C924" s="2">
        <f>IF(B924="", "", "missing: not provided")</f>
        <v>0</v>
      </c>
      <c r="D924" s="1">
        <f>IF(B924="", "", "weeks")</f>
        <v>0</v>
      </c>
      <c r="E924" s="1">
        <f>IF(B924="", "", "urban biome")</f>
        <v>0</v>
      </c>
      <c r="F924" s="1">
        <f>IF(B924="", "", "animal-associated habitat")</f>
        <v>0</v>
      </c>
      <c r="G924" s="1">
        <f>IF(B924="", "", "mouse")</f>
        <v>0</v>
      </c>
      <c r="H924" s="1">
        <f>IF(B924="", "", "Mus musculus")</f>
        <v>0</v>
      </c>
      <c r="I924" s="1">
        <f>IF(B924="", "", "10090")</f>
        <v>0</v>
      </c>
      <c r="J924" s="2">
        <f>IF(B924="", "", "missing: not provided")</f>
        <v>0</v>
      </c>
      <c r="K924" s="1">
        <f>IF(B924="", "", "g")</f>
        <v>0</v>
      </c>
    </row>
    <row r="925" spans="1:11">
      <c r="A925">
        <f>IF(COUNTBLANK(B925:K925)&lt;&gt;COLUMNS(B925:K925),924,"")</f>
        <v>0</v>
      </c>
      <c r="C925" s="2">
        <f>IF(B925="", "", "missing: not provided")</f>
        <v>0</v>
      </c>
      <c r="D925" s="1">
        <f>IF(B925="", "", "weeks")</f>
        <v>0</v>
      </c>
      <c r="E925" s="1">
        <f>IF(B925="", "", "urban biome")</f>
        <v>0</v>
      </c>
      <c r="F925" s="1">
        <f>IF(B925="", "", "animal-associated habitat")</f>
        <v>0</v>
      </c>
      <c r="G925" s="1">
        <f>IF(B925="", "", "mouse")</f>
        <v>0</v>
      </c>
      <c r="H925" s="1">
        <f>IF(B925="", "", "Mus musculus")</f>
        <v>0</v>
      </c>
      <c r="I925" s="1">
        <f>IF(B925="", "", "10090")</f>
        <v>0</v>
      </c>
      <c r="J925" s="2">
        <f>IF(B925="", "", "missing: not provided")</f>
        <v>0</v>
      </c>
      <c r="K925" s="1">
        <f>IF(B925="", "", "g")</f>
        <v>0</v>
      </c>
    </row>
    <row r="926" spans="1:11">
      <c r="A926">
        <f>IF(COUNTBLANK(B926:K926)&lt;&gt;COLUMNS(B926:K926),925,"")</f>
        <v>0</v>
      </c>
      <c r="C926" s="2">
        <f>IF(B926="", "", "missing: not provided")</f>
        <v>0</v>
      </c>
      <c r="D926" s="1">
        <f>IF(B926="", "", "weeks")</f>
        <v>0</v>
      </c>
      <c r="E926" s="1">
        <f>IF(B926="", "", "urban biome")</f>
        <v>0</v>
      </c>
      <c r="F926" s="1">
        <f>IF(B926="", "", "animal-associated habitat")</f>
        <v>0</v>
      </c>
      <c r="G926" s="1">
        <f>IF(B926="", "", "mouse")</f>
        <v>0</v>
      </c>
      <c r="H926" s="1">
        <f>IF(B926="", "", "Mus musculus")</f>
        <v>0</v>
      </c>
      <c r="I926" s="1">
        <f>IF(B926="", "", "10090")</f>
        <v>0</v>
      </c>
      <c r="J926" s="2">
        <f>IF(B926="", "", "missing: not provided")</f>
        <v>0</v>
      </c>
      <c r="K926" s="1">
        <f>IF(B926="", "", "g")</f>
        <v>0</v>
      </c>
    </row>
    <row r="927" spans="1:11">
      <c r="A927">
        <f>IF(COUNTBLANK(B927:K927)&lt;&gt;COLUMNS(B927:K927),926,"")</f>
        <v>0</v>
      </c>
      <c r="C927" s="2">
        <f>IF(B927="", "", "missing: not provided")</f>
        <v>0</v>
      </c>
      <c r="D927" s="1">
        <f>IF(B927="", "", "weeks")</f>
        <v>0</v>
      </c>
      <c r="E927" s="1">
        <f>IF(B927="", "", "urban biome")</f>
        <v>0</v>
      </c>
      <c r="F927" s="1">
        <f>IF(B927="", "", "animal-associated habitat")</f>
        <v>0</v>
      </c>
      <c r="G927" s="1">
        <f>IF(B927="", "", "mouse")</f>
        <v>0</v>
      </c>
      <c r="H927" s="1">
        <f>IF(B927="", "", "Mus musculus")</f>
        <v>0</v>
      </c>
      <c r="I927" s="1">
        <f>IF(B927="", "", "10090")</f>
        <v>0</v>
      </c>
      <c r="J927" s="2">
        <f>IF(B927="", "", "missing: not provided")</f>
        <v>0</v>
      </c>
      <c r="K927" s="1">
        <f>IF(B927="", "", "g")</f>
        <v>0</v>
      </c>
    </row>
    <row r="928" spans="1:11">
      <c r="A928">
        <f>IF(COUNTBLANK(B928:K928)&lt;&gt;COLUMNS(B928:K928),927,"")</f>
        <v>0</v>
      </c>
      <c r="C928" s="2">
        <f>IF(B928="", "", "missing: not provided")</f>
        <v>0</v>
      </c>
      <c r="D928" s="1">
        <f>IF(B928="", "", "weeks")</f>
        <v>0</v>
      </c>
      <c r="E928" s="1">
        <f>IF(B928="", "", "urban biome")</f>
        <v>0</v>
      </c>
      <c r="F928" s="1">
        <f>IF(B928="", "", "animal-associated habitat")</f>
        <v>0</v>
      </c>
      <c r="G928" s="1">
        <f>IF(B928="", "", "mouse")</f>
        <v>0</v>
      </c>
      <c r="H928" s="1">
        <f>IF(B928="", "", "Mus musculus")</f>
        <v>0</v>
      </c>
      <c r="I928" s="1">
        <f>IF(B928="", "", "10090")</f>
        <v>0</v>
      </c>
      <c r="J928" s="2">
        <f>IF(B928="", "", "missing: not provided")</f>
        <v>0</v>
      </c>
      <c r="K928" s="1">
        <f>IF(B928="", "", "g")</f>
        <v>0</v>
      </c>
    </row>
    <row r="929" spans="1:11">
      <c r="A929">
        <f>IF(COUNTBLANK(B929:K929)&lt;&gt;COLUMNS(B929:K929),928,"")</f>
        <v>0</v>
      </c>
      <c r="C929" s="2">
        <f>IF(B929="", "", "missing: not provided")</f>
        <v>0</v>
      </c>
      <c r="D929" s="1">
        <f>IF(B929="", "", "weeks")</f>
        <v>0</v>
      </c>
      <c r="E929" s="1">
        <f>IF(B929="", "", "urban biome")</f>
        <v>0</v>
      </c>
      <c r="F929" s="1">
        <f>IF(B929="", "", "animal-associated habitat")</f>
        <v>0</v>
      </c>
      <c r="G929" s="1">
        <f>IF(B929="", "", "mouse")</f>
        <v>0</v>
      </c>
      <c r="H929" s="1">
        <f>IF(B929="", "", "Mus musculus")</f>
        <v>0</v>
      </c>
      <c r="I929" s="1">
        <f>IF(B929="", "", "10090")</f>
        <v>0</v>
      </c>
      <c r="J929" s="2">
        <f>IF(B929="", "", "missing: not provided")</f>
        <v>0</v>
      </c>
      <c r="K929" s="1">
        <f>IF(B929="", "", "g")</f>
        <v>0</v>
      </c>
    </row>
    <row r="930" spans="1:11">
      <c r="A930">
        <f>IF(COUNTBLANK(B930:K930)&lt;&gt;COLUMNS(B930:K930),929,"")</f>
        <v>0</v>
      </c>
      <c r="C930" s="2">
        <f>IF(B930="", "", "missing: not provided")</f>
        <v>0</v>
      </c>
      <c r="D930" s="1">
        <f>IF(B930="", "", "weeks")</f>
        <v>0</v>
      </c>
      <c r="E930" s="1">
        <f>IF(B930="", "", "urban biome")</f>
        <v>0</v>
      </c>
      <c r="F930" s="1">
        <f>IF(B930="", "", "animal-associated habitat")</f>
        <v>0</v>
      </c>
      <c r="G930" s="1">
        <f>IF(B930="", "", "mouse")</f>
        <v>0</v>
      </c>
      <c r="H930" s="1">
        <f>IF(B930="", "", "Mus musculus")</f>
        <v>0</v>
      </c>
      <c r="I930" s="1">
        <f>IF(B930="", "", "10090")</f>
        <v>0</v>
      </c>
      <c r="J930" s="2">
        <f>IF(B930="", "", "missing: not provided")</f>
        <v>0</v>
      </c>
      <c r="K930" s="1">
        <f>IF(B930="", "", "g")</f>
        <v>0</v>
      </c>
    </row>
    <row r="931" spans="1:11">
      <c r="A931">
        <f>IF(COUNTBLANK(B931:K931)&lt;&gt;COLUMNS(B931:K931),930,"")</f>
        <v>0</v>
      </c>
      <c r="C931" s="2">
        <f>IF(B931="", "", "missing: not provided")</f>
        <v>0</v>
      </c>
      <c r="D931" s="1">
        <f>IF(B931="", "", "weeks")</f>
        <v>0</v>
      </c>
      <c r="E931" s="1">
        <f>IF(B931="", "", "urban biome")</f>
        <v>0</v>
      </c>
      <c r="F931" s="1">
        <f>IF(B931="", "", "animal-associated habitat")</f>
        <v>0</v>
      </c>
      <c r="G931" s="1">
        <f>IF(B931="", "", "mouse")</f>
        <v>0</v>
      </c>
      <c r="H931" s="1">
        <f>IF(B931="", "", "Mus musculus")</f>
        <v>0</v>
      </c>
      <c r="I931" s="1">
        <f>IF(B931="", "", "10090")</f>
        <v>0</v>
      </c>
      <c r="J931" s="2">
        <f>IF(B931="", "", "missing: not provided")</f>
        <v>0</v>
      </c>
      <c r="K931" s="1">
        <f>IF(B931="", "", "g")</f>
        <v>0</v>
      </c>
    </row>
    <row r="932" spans="1:11">
      <c r="A932">
        <f>IF(COUNTBLANK(B932:K932)&lt;&gt;COLUMNS(B932:K932),931,"")</f>
        <v>0</v>
      </c>
      <c r="C932" s="2">
        <f>IF(B932="", "", "missing: not provided")</f>
        <v>0</v>
      </c>
      <c r="D932" s="1">
        <f>IF(B932="", "", "weeks")</f>
        <v>0</v>
      </c>
      <c r="E932" s="1">
        <f>IF(B932="", "", "urban biome")</f>
        <v>0</v>
      </c>
      <c r="F932" s="1">
        <f>IF(B932="", "", "animal-associated habitat")</f>
        <v>0</v>
      </c>
      <c r="G932" s="1">
        <f>IF(B932="", "", "mouse")</f>
        <v>0</v>
      </c>
      <c r="H932" s="1">
        <f>IF(B932="", "", "Mus musculus")</f>
        <v>0</v>
      </c>
      <c r="I932" s="1">
        <f>IF(B932="", "", "10090")</f>
        <v>0</v>
      </c>
      <c r="J932" s="2">
        <f>IF(B932="", "", "missing: not provided")</f>
        <v>0</v>
      </c>
      <c r="K932" s="1">
        <f>IF(B932="", "", "g")</f>
        <v>0</v>
      </c>
    </row>
    <row r="933" spans="1:11">
      <c r="A933">
        <f>IF(COUNTBLANK(B933:K933)&lt;&gt;COLUMNS(B933:K933),932,"")</f>
        <v>0</v>
      </c>
      <c r="C933" s="2">
        <f>IF(B933="", "", "missing: not provided")</f>
        <v>0</v>
      </c>
      <c r="D933" s="1">
        <f>IF(B933="", "", "weeks")</f>
        <v>0</v>
      </c>
      <c r="E933" s="1">
        <f>IF(B933="", "", "urban biome")</f>
        <v>0</v>
      </c>
      <c r="F933" s="1">
        <f>IF(B933="", "", "animal-associated habitat")</f>
        <v>0</v>
      </c>
      <c r="G933" s="1">
        <f>IF(B933="", "", "mouse")</f>
        <v>0</v>
      </c>
      <c r="H933" s="1">
        <f>IF(B933="", "", "Mus musculus")</f>
        <v>0</v>
      </c>
      <c r="I933" s="1">
        <f>IF(B933="", "", "10090")</f>
        <v>0</v>
      </c>
      <c r="J933" s="2">
        <f>IF(B933="", "", "missing: not provided")</f>
        <v>0</v>
      </c>
      <c r="K933" s="1">
        <f>IF(B933="", "", "g")</f>
        <v>0</v>
      </c>
    </row>
    <row r="934" spans="1:11">
      <c r="A934">
        <f>IF(COUNTBLANK(B934:K934)&lt;&gt;COLUMNS(B934:K934),933,"")</f>
        <v>0</v>
      </c>
      <c r="C934" s="2">
        <f>IF(B934="", "", "missing: not provided")</f>
        <v>0</v>
      </c>
      <c r="D934" s="1">
        <f>IF(B934="", "", "weeks")</f>
        <v>0</v>
      </c>
      <c r="E934" s="1">
        <f>IF(B934="", "", "urban biome")</f>
        <v>0</v>
      </c>
      <c r="F934" s="1">
        <f>IF(B934="", "", "animal-associated habitat")</f>
        <v>0</v>
      </c>
      <c r="G934" s="1">
        <f>IF(B934="", "", "mouse")</f>
        <v>0</v>
      </c>
      <c r="H934" s="1">
        <f>IF(B934="", "", "Mus musculus")</f>
        <v>0</v>
      </c>
      <c r="I934" s="1">
        <f>IF(B934="", "", "10090")</f>
        <v>0</v>
      </c>
      <c r="J934" s="2">
        <f>IF(B934="", "", "missing: not provided")</f>
        <v>0</v>
      </c>
      <c r="K934" s="1">
        <f>IF(B934="", "", "g")</f>
        <v>0</v>
      </c>
    </row>
    <row r="935" spans="1:11">
      <c r="A935">
        <f>IF(COUNTBLANK(B935:K935)&lt;&gt;COLUMNS(B935:K935),934,"")</f>
        <v>0</v>
      </c>
      <c r="C935" s="2">
        <f>IF(B935="", "", "missing: not provided")</f>
        <v>0</v>
      </c>
      <c r="D935" s="1">
        <f>IF(B935="", "", "weeks")</f>
        <v>0</v>
      </c>
      <c r="E935" s="1">
        <f>IF(B935="", "", "urban biome")</f>
        <v>0</v>
      </c>
      <c r="F935" s="1">
        <f>IF(B935="", "", "animal-associated habitat")</f>
        <v>0</v>
      </c>
      <c r="G935" s="1">
        <f>IF(B935="", "", "mouse")</f>
        <v>0</v>
      </c>
      <c r="H935" s="1">
        <f>IF(B935="", "", "Mus musculus")</f>
        <v>0</v>
      </c>
      <c r="I935" s="1">
        <f>IF(B935="", "", "10090")</f>
        <v>0</v>
      </c>
      <c r="J935" s="2">
        <f>IF(B935="", "", "missing: not provided")</f>
        <v>0</v>
      </c>
      <c r="K935" s="1">
        <f>IF(B935="", "", "g")</f>
        <v>0</v>
      </c>
    </row>
    <row r="936" spans="1:11">
      <c r="A936">
        <f>IF(COUNTBLANK(B936:K936)&lt;&gt;COLUMNS(B936:K936),935,"")</f>
        <v>0</v>
      </c>
      <c r="C936" s="2">
        <f>IF(B936="", "", "missing: not provided")</f>
        <v>0</v>
      </c>
      <c r="D936" s="1">
        <f>IF(B936="", "", "weeks")</f>
        <v>0</v>
      </c>
      <c r="E936" s="1">
        <f>IF(B936="", "", "urban biome")</f>
        <v>0</v>
      </c>
      <c r="F936" s="1">
        <f>IF(B936="", "", "animal-associated habitat")</f>
        <v>0</v>
      </c>
      <c r="G936" s="1">
        <f>IF(B936="", "", "mouse")</f>
        <v>0</v>
      </c>
      <c r="H936" s="1">
        <f>IF(B936="", "", "Mus musculus")</f>
        <v>0</v>
      </c>
      <c r="I936" s="1">
        <f>IF(B936="", "", "10090")</f>
        <v>0</v>
      </c>
      <c r="J936" s="2">
        <f>IF(B936="", "", "missing: not provided")</f>
        <v>0</v>
      </c>
      <c r="K936" s="1">
        <f>IF(B936="", "", "g")</f>
        <v>0</v>
      </c>
    </row>
    <row r="937" spans="1:11">
      <c r="A937">
        <f>IF(COUNTBLANK(B937:K937)&lt;&gt;COLUMNS(B937:K937),936,"")</f>
        <v>0</v>
      </c>
      <c r="C937" s="2">
        <f>IF(B937="", "", "missing: not provided")</f>
        <v>0</v>
      </c>
      <c r="D937" s="1">
        <f>IF(B937="", "", "weeks")</f>
        <v>0</v>
      </c>
      <c r="E937" s="1">
        <f>IF(B937="", "", "urban biome")</f>
        <v>0</v>
      </c>
      <c r="F937" s="1">
        <f>IF(B937="", "", "animal-associated habitat")</f>
        <v>0</v>
      </c>
      <c r="G937" s="1">
        <f>IF(B937="", "", "mouse")</f>
        <v>0</v>
      </c>
      <c r="H937" s="1">
        <f>IF(B937="", "", "Mus musculus")</f>
        <v>0</v>
      </c>
      <c r="I937" s="1">
        <f>IF(B937="", "", "10090")</f>
        <v>0</v>
      </c>
      <c r="J937" s="2">
        <f>IF(B937="", "", "missing: not provided")</f>
        <v>0</v>
      </c>
      <c r="K937" s="1">
        <f>IF(B937="", "", "g")</f>
        <v>0</v>
      </c>
    </row>
    <row r="938" spans="1:11">
      <c r="A938">
        <f>IF(COUNTBLANK(B938:K938)&lt;&gt;COLUMNS(B938:K938),937,"")</f>
        <v>0</v>
      </c>
      <c r="C938" s="2">
        <f>IF(B938="", "", "missing: not provided")</f>
        <v>0</v>
      </c>
      <c r="D938" s="1">
        <f>IF(B938="", "", "weeks")</f>
        <v>0</v>
      </c>
      <c r="E938" s="1">
        <f>IF(B938="", "", "urban biome")</f>
        <v>0</v>
      </c>
      <c r="F938" s="1">
        <f>IF(B938="", "", "animal-associated habitat")</f>
        <v>0</v>
      </c>
      <c r="G938" s="1">
        <f>IF(B938="", "", "mouse")</f>
        <v>0</v>
      </c>
      <c r="H938" s="1">
        <f>IF(B938="", "", "Mus musculus")</f>
        <v>0</v>
      </c>
      <c r="I938" s="1">
        <f>IF(B938="", "", "10090")</f>
        <v>0</v>
      </c>
      <c r="J938" s="2">
        <f>IF(B938="", "", "missing: not provided")</f>
        <v>0</v>
      </c>
      <c r="K938" s="1">
        <f>IF(B938="", "", "g")</f>
        <v>0</v>
      </c>
    </row>
    <row r="939" spans="1:11">
      <c r="A939">
        <f>IF(COUNTBLANK(B939:K939)&lt;&gt;COLUMNS(B939:K939),938,"")</f>
        <v>0</v>
      </c>
      <c r="C939" s="2">
        <f>IF(B939="", "", "missing: not provided")</f>
        <v>0</v>
      </c>
      <c r="D939" s="1">
        <f>IF(B939="", "", "weeks")</f>
        <v>0</v>
      </c>
      <c r="E939" s="1">
        <f>IF(B939="", "", "urban biome")</f>
        <v>0</v>
      </c>
      <c r="F939" s="1">
        <f>IF(B939="", "", "animal-associated habitat")</f>
        <v>0</v>
      </c>
      <c r="G939" s="1">
        <f>IF(B939="", "", "mouse")</f>
        <v>0</v>
      </c>
      <c r="H939" s="1">
        <f>IF(B939="", "", "Mus musculus")</f>
        <v>0</v>
      </c>
      <c r="I939" s="1">
        <f>IF(B939="", "", "10090")</f>
        <v>0</v>
      </c>
      <c r="J939" s="2">
        <f>IF(B939="", "", "missing: not provided")</f>
        <v>0</v>
      </c>
      <c r="K939" s="1">
        <f>IF(B939="", "", "g")</f>
        <v>0</v>
      </c>
    </row>
    <row r="940" spans="1:11">
      <c r="A940">
        <f>IF(COUNTBLANK(B940:K940)&lt;&gt;COLUMNS(B940:K940),939,"")</f>
        <v>0</v>
      </c>
      <c r="C940" s="2">
        <f>IF(B940="", "", "missing: not provided")</f>
        <v>0</v>
      </c>
      <c r="D940" s="1">
        <f>IF(B940="", "", "weeks")</f>
        <v>0</v>
      </c>
      <c r="E940" s="1">
        <f>IF(B940="", "", "urban biome")</f>
        <v>0</v>
      </c>
      <c r="F940" s="1">
        <f>IF(B940="", "", "animal-associated habitat")</f>
        <v>0</v>
      </c>
      <c r="G940" s="1">
        <f>IF(B940="", "", "mouse")</f>
        <v>0</v>
      </c>
      <c r="H940" s="1">
        <f>IF(B940="", "", "Mus musculus")</f>
        <v>0</v>
      </c>
      <c r="I940" s="1">
        <f>IF(B940="", "", "10090")</f>
        <v>0</v>
      </c>
      <c r="J940" s="2">
        <f>IF(B940="", "", "missing: not provided")</f>
        <v>0</v>
      </c>
      <c r="K940" s="1">
        <f>IF(B940="", "", "g")</f>
        <v>0</v>
      </c>
    </row>
    <row r="941" spans="1:11">
      <c r="A941">
        <f>IF(COUNTBLANK(B941:K941)&lt;&gt;COLUMNS(B941:K941),940,"")</f>
        <v>0</v>
      </c>
      <c r="C941" s="2">
        <f>IF(B941="", "", "missing: not provided")</f>
        <v>0</v>
      </c>
      <c r="D941" s="1">
        <f>IF(B941="", "", "weeks")</f>
        <v>0</v>
      </c>
      <c r="E941" s="1">
        <f>IF(B941="", "", "urban biome")</f>
        <v>0</v>
      </c>
      <c r="F941" s="1">
        <f>IF(B941="", "", "animal-associated habitat")</f>
        <v>0</v>
      </c>
      <c r="G941" s="1">
        <f>IF(B941="", "", "mouse")</f>
        <v>0</v>
      </c>
      <c r="H941" s="1">
        <f>IF(B941="", "", "Mus musculus")</f>
        <v>0</v>
      </c>
      <c r="I941" s="1">
        <f>IF(B941="", "", "10090")</f>
        <v>0</v>
      </c>
      <c r="J941" s="2">
        <f>IF(B941="", "", "missing: not provided")</f>
        <v>0</v>
      </c>
      <c r="K941" s="1">
        <f>IF(B941="", "", "g")</f>
        <v>0</v>
      </c>
    </row>
    <row r="942" spans="1:11">
      <c r="A942">
        <f>IF(COUNTBLANK(B942:K942)&lt;&gt;COLUMNS(B942:K942),941,"")</f>
        <v>0</v>
      </c>
      <c r="C942" s="2">
        <f>IF(B942="", "", "missing: not provided")</f>
        <v>0</v>
      </c>
      <c r="D942" s="1">
        <f>IF(B942="", "", "weeks")</f>
        <v>0</v>
      </c>
      <c r="E942" s="1">
        <f>IF(B942="", "", "urban biome")</f>
        <v>0</v>
      </c>
      <c r="F942" s="1">
        <f>IF(B942="", "", "animal-associated habitat")</f>
        <v>0</v>
      </c>
      <c r="G942" s="1">
        <f>IF(B942="", "", "mouse")</f>
        <v>0</v>
      </c>
      <c r="H942" s="1">
        <f>IF(B942="", "", "Mus musculus")</f>
        <v>0</v>
      </c>
      <c r="I942" s="1">
        <f>IF(B942="", "", "10090")</f>
        <v>0</v>
      </c>
      <c r="J942" s="2">
        <f>IF(B942="", "", "missing: not provided")</f>
        <v>0</v>
      </c>
      <c r="K942" s="1">
        <f>IF(B942="", "", "g")</f>
        <v>0</v>
      </c>
    </row>
    <row r="943" spans="1:11">
      <c r="A943">
        <f>IF(COUNTBLANK(B943:K943)&lt;&gt;COLUMNS(B943:K943),942,"")</f>
        <v>0</v>
      </c>
      <c r="C943" s="2">
        <f>IF(B943="", "", "missing: not provided")</f>
        <v>0</v>
      </c>
      <c r="D943" s="1">
        <f>IF(B943="", "", "weeks")</f>
        <v>0</v>
      </c>
      <c r="E943" s="1">
        <f>IF(B943="", "", "urban biome")</f>
        <v>0</v>
      </c>
      <c r="F943" s="1">
        <f>IF(B943="", "", "animal-associated habitat")</f>
        <v>0</v>
      </c>
      <c r="G943" s="1">
        <f>IF(B943="", "", "mouse")</f>
        <v>0</v>
      </c>
      <c r="H943" s="1">
        <f>IF(B943="", "", "Mus musculus")</f>
        <v>0</v>
      </c>
      <c r="I943" s="1">
        <f>IF(B943="", "", "10090")</f>
        <v>0</v>
      </c>
      <c r="J943" s="2">
        <f>IF(B943="", "", "missing: not provided")</f>
        <v>0</v>
      </c>
      <c r="K943" s="1">
        <f>IF(B943="", "", "g")</f>
        <v>0</v>
      </c>
    </row>
    <row r="944" spans="1:11">
      <c r="A944">
        <f>IF(COUNTBLANK(B944:K944)&lt;&gt;COLUMNS(B944:K944),943,"")</f>
        <v>0</v>
      </c>
      <c r="C944" s="2">
        <f>IF(B944="", "", "missing: not provided")</f>
        <v>0</v>
      </c>
      <c r="D944" s="1">
        <f>IF(B944="", "", "weeks")</f>
        <v>0</v>
      </c>
      <c r="E944" s="1">
        <f>IF(B944="", "", "urban biome")</f>
        <v>0</v>
      </c>
      <c r="F944" s="1">
        <f>IF(B944="", "", "animal-associated habitat")</f>
        <v>0</v>
      </c>
      <c r="G944" s="1">
        <f>IF(B944="", "", "mouse")</f>
        <v>0</v>
      </c>
      <c r="H944" s="1">
        <f>IF(B944="", "", "Mus musculus")</f>
        <v>0</v>
      </c>
      <c r="I944" s="1">
        <f>IF(B944="", "", "10090")</f>
        <v>0</v>
      </c>
      <c r="J944" s="2">
        <f>IF(B944="", "", "missing: not provided")</f>
        <v>0</v>
      </c>
      <c r="K944" s="1">
        <f>IF(B944="", "", "g")</f>
        <v>0</v>
      </c>
    </row>
    <row r="945" spans="1:11">
      <c r="A945">
        <f>IF(COUNTBLANK(B945:K945)&lt;&gt;COLUMNS(B945:K945),944,"")</f>
        <v>0</v>
      </c>
      <c r="C945" s="2">
        <f>IF(B945="", "", "missing: not provided")</f>
        <v>0</v>
      </c>
      <c r="D945" s="1">
        <f>IF(B945="", "", "weeks")</f>
        <v>0</v>
      </c>
      <c r="E945" s="1">
        <f>IF(B945="", "", "urban biome")</f>
        <v>0</v>
      </c>
      <c r="F945" s="1">
        <f>IF(B945="", "", "animal-associated habitat")</f>
        <v>0</v>
      </c>
      <c r="G945" s="1">
        <f>IF(B945="", "", "mouse")</f>
        <v>0</v>
      </c>
      <c r="H945" s="1">
        <f>IF(B945="", "", "Mus musculus")</f>
        <v>0</v>
      </c>
      <c r="I945" s="1">
        <f>IF(B945="", "", "10090")</f>
        <v>0</v>
      </c>
      <c r="J945" s="2">
        <f>IF(B945="", "", "missing: not provided")</f>
        <v>0</v>
      </c>
      <c r="K945" s="1">
        <f>IF(B945="", "", "g")</f>
        <v>0</v>
      </c>
    </row>
    <row r="946" spans="1:11">
      <c r="A946">
        <f>IF(COUNTBLANK(B946:K946)&lt;&gt;COLUMNS(B946:K946),945,"")</f>
        <v>0</v>
      </c>
      <c r="C946" s="2">
        <f>IF(B946="", "", "missing: not provided")</f>
        <v>0</v>
      </c>
      <c r="D946" s="1">
        <f>IF(B946="", "", "weeks")</f>
        <v>0</v>
      </c>
      <c r="E946" s="1">
        <f>IF(B946="", "", "urban biome")</f>
        <v>0</v>
      </c>
      <c r="F946" s="1">
        <f>IF(B946="", "", "animal-associated habitat")</f>
        <v>0</v>
      </c>
      <c r="G946" s="1">
        <f>IF(B946="", "", "mouse")</f>
        <v>0</v>
      </c>
      <c r="H946" s="1">
        <f>IF(B946="", "", "Mus musculus")</f>
        <v>0</v>
      </c>
      <c r="I946" s="1">
        <f>IF(B946="", "", "10090")</f>
        <v>0</v>
      </c>
      <c r="J946" s="2">
        <f>IF(B946="", "", "missing: not provided")</f>
        <v>0</v>
      </c>
      <c r="K946" s="1">
        <f>IF(B946="", "", "g")</f>
        <v>0</v>
      </c>
    </row>
    <row r="947" spans="1:11">
      <c r="A947">
        <f>IF(COUNTBLANK(B947:K947)&lt;&gt;COLUMNS(B947:K947),946,"")</f>
        <v>0</v>
      </c>
      <c r="C947" s="2">
        <f>IF(B947="", "", "missing: not provided")</f>
        <v>0</v>
      </c>
      <c r="D947" s="1">
        <f>IF(B947="", "", "weeks")</f>
        <v>0</v>
      </c>
      <c r="E947" s="1">
        <f>IF(B947="", "", "urban biome")</f>
        <v>0</v>
      </c>
      <c r="F947" s="1">
        <f>IF(B947="", "", "animal-associated habitat")</f>
        <v>0</v>
      </c>
      <c r="G947" s="1">
        <f>IF(B947="", "", "mouse")</f>
        <v>0</v>
      </c>
      <c r="H947" s="1">
        <f>IF(B947="", "", "Mus musculus")</f>
        <v>0</v>
      </c>
      <c r="I947" s="1">
        <f>IF(B947="", "", "10090")</f>
        <v>0</v>
      </c>
      <c r="J947" s="2">
        <f>IF(B947="", "", "missing: not provided")</f>
        <v>0</v>
      </c>
      <c r="K947" s="1">
        <f>IF(B947="", "", "g")</f>
        <v>0</v>
      </c>
    </row>
    <row r="948" spans="1:11">
      <c r="A948">
        <f>IF(COUNTBLANK(B948:K948)&lt;&gt;COLUMNS(B948:K948),947,"")</f>
        <v>0</v>
      </c>
      <c r="C948" s="2">
        <f>IF(B948="", "", "missing: not provided")</f>
        <v>0</v>
      </c>
      <c r="D948" s="1">
        <f>IF(B948="", "", "weeks")</f>
        <v>0</v>
      </c>
      <c r="E948" s="1">
        <f>IF(B948="", "", "urban biome")</f>
        <v>0</v>
      </c>
      <c r="F948" s="1">
        <f>IF(B948="", "", "animal-associated habitat")</f>
        <v>0</v>
      </c>
      <c r="G948" s="1">
        <f>IF(B948="", "", "mouse")</f>
        <v>0</v>
      </c>
      <c r="H948" s="1">
        <f>IF(B948="", "", "Mus musculus")</f>
        <v>0</v>
      </c>
      <c r="I948" s="1">
        <f>IF(B948="", "", "10090")</f>
        <v>0</v>
      </c>
      <c r="J948" s="2">
        <f>IF(B948="", "", "missing: not provided")</f>
        <v>0</v>
      </c>
      <c r="K948" s="1">
        <f>IF(B948="", "", "g")</f>
        <v>0</v>
      </c>
    </row>
    <row r="949" spans="1:11">
      <c r="A949">
        <f>IF(COUNTBLANK(B949:K949)&lt;&gt;COLUMNS(B949:K949),948,"")</f>
        <v>0</v>
      </c>
      <c r="C949" s="2">
        <f>IF(B949="", "", "missing: not provided")</f>
        <v>0</v>
      </c>
      <c r="D949" s="1">
        <f>IF(B949="", "", "weeks")</f>
        <v>0</v>
      </c>
      <c r="E949" s="1">
        <f>IF(B949="", "", "urban biome")</f>
        <v>0</v>
      </c>
      <c r="F949" s="1">
        <f>IF(B949="", "", "animal-associated habitat")</f>
        <v>0</v>
      </c>
      <c r="G949" s="1">
        <f>IF(B949="", "", "mouse")</f>
        <v>0</v>
      </c>
      <c r="H949" s="1">
        <f>IF(B949="", "", "Mus musculus")</f>
        <v>0</v>
      </c>
      <c r="I949" s="1">
        <f>IF(B949="", "", "10090")</f>
        <v>0</v>
      </c>
      <c r="J949" s="2">
        <f>IF(B949="", "", "missing: not provided")</f>
        <v>0</v>
      </c>
      <c r="K949" s="1">
        <f>IF(B949="", "", "g")</f>
        <v>0</v>
      </c>
    </row>
    <row r="950" spans="1:11">
      <c r="A950">
        <f>IF(COUNTBLANK(B950:K950)&lt;&gt;COLUMNS(B950:K950),949,"")</f>
        <v>0</v>
      </c>
      <c r="C950" s="2">
        <f>IF(B950="", "", "missing: not provided")</f>
        <v>0</v>
      </c>
      <c r="D950" s="1">
        <f>IF(B950="", "", "weeks")</f>
        <v>0</v>
      </c>
      <c r="E950" s="1">
        <f>IF(B950="", "", "urban biome")</f>
        <v>0</v>
      </c>
      <c r="F950" s="1">
        <f>IF(B950="", "", "animal-associated habitat")</f>
        <v>0</v>
      </c>
      <c r="G950" s="1">
        <f>IF(B950="", "", "mouse")</f>
        <v>0</v>
      </c>
      <c r="H950" s="1">
        <f>IF(B950="", "", "Mus musculus")</f>
        <v>0</v>
      </c>
      <c r="I950" s="1">
        <f>IF(B950="", "", "10090")</f>
        <v>0</v>
      </c>
      <c r="J950" s="2">
        <f>IF(B950="", "", "missing: not provided")</f>
        <v>0</v>
      </c>
      <c r="K950" s="1">
        <f>IF(B950="", "", "g")</f>
        <v>0</v>
      </c>
    </row>
    <row r="951" spans="1:11">
      <c r="A951">
        <f>IF(COUNTBLANK(B951:K951)&lt;&gt;COLUMNS(B951:K951),950,"")</f>
        <v>0</v>
      </c>
      <c r="C951" s="2">
        <f>IF(B951="", "", "missing: not provided")</f>
        <v>0</v>
      </c>
      <c r="D951" s="1">
        <f>IF(B951="", "", "weeks")</f>
        <v>0</v>
      </c>
      <c r="E951" s="1">
        <f>IF(B951="", "", "urban biome")</f>
        <v>0</v>
      </c>
      <c r="F951" s="1">
        <f>IF(B951="", "", "animal-associated habitat")</f>
        <v>0</v>
      </c>
      <c r="G951" s="1">
        <f>IF(B951="", "", "mouse")</f>
        <v>0</v>
      </c>
      <c r="H951" s="1">
        <f>IF(B951="", "", "Mus musculus")</f>
        <v>0</v>
      </c>
      <c r="I951" s="1">
        <f>IF(B951="", "", "10090")</f>
        <v>0</v>
      </c>
      <c r="J951" s="2">
        <f>IF(B951="", "", "missing: not provided")</f>
        <v>0</v>
      </c>
      <c r="K951" s="1">
        <f>IF(B951="", "", "g")</f>
        <v>0</v>
      </c>
    </row>
    <row r="952" spans="1:11">
      <c r="A952">
        <f>IF(COUNTBLANK(B952:K952)&lt;&gt;COLUMNS(B952:K952),951,"")</f>
        <v>0</v>
      </c>
      <c r="C952" s="2">
        <f>IF(B952="", "", "missing: not provided")</f>
        <v>0</v>
      </c>
      <c r="D952" s="1">
        <f>IF(B952="", "", "weeks")</f>
        <v>0</v>
      </c>
      <c r="E952" s="1">
        <f>IF(B952="", "", "urban biome")</f>
        <v>0</v>
      </c>
      <c r="F952" s="1">
        <f>IF(B952="", "", "animal-associated habitat")</f>
        <v>0</v>
      </c>
      <c r="G952" s="1">
        <f>IF(B952="", "", "mouse")</f>
        <v>0</v>
      </c>
      <c r="H952" s="1">
        <f>IF(B952="", "", "Mus musculus")</f>
        <v>0</v>
      </c>
      <c r="I952" s="1">
        <f>IF(B952="", "", "10090")</f>
        <v>0</v>
      </c>
      <c r="J952" s="2">
        <f>IF(B952="", "", "missing: not provided")</f>
        <v>0</v>
      </c>
      <c r="K952" s="1">
        <f>IF(B952="", "", "g")</f>
        <v>0</v>
      </c>
    </row>
    <row r="953" spans="1:11">
      <c r="A953">
        <f>IF(COUNTBLANK(B953:K953)&lt;&gt;COLUMNS(B953:K953),952,"")</f>
        <v>0</v>
      </c>
      <c r="C953" s="2">
        <f>IF(B953="", "", "missing: not provided")</f>
        <v>0</v>
      </c>
      <c r="D953" s="1">
        <f>IF(B953="", "", "weeks")</f>
        <v>0</v>
      </c>
      <c r="E953" s="1">
        <f>IF(B953="", "", "urban biome")</f>
        <v>0</v>
      </c>
      <c r="F953" s="1">
        <f>IF(B953="", "", "animal-associated habitat")</f>
        <v>0</v>
      </c>
      <c r="G953" s="1">
        <f>IF(B953="", "", "mouse")</f>
        <v>0</v>
      </c>
      <c r="H953" s="1">
        <f>IF(B953="", "", "Mus musculus")</f>
        <v>0</v>
      </c>
      <c r="I953" s="1">
        <f>IF(B953="", "", "10090")</f>
        <v>0</v>
      </c>
      <c r="J953" s="2">
        <f>IF(B953="", "", "missing: not provided")</f>
        <v>0</v>
      </c>
      <c r="K953" s="1">
        <f>IF(B953="", "", "g")</f>
        <v>0</v>
      </c>
    </row>
    <row r="954" spans="1:11">
      <c r="A954">
        <f>IF(COUNTBLANK(B954:K954)&lt;&gt;COLUMNS(B954:K954),953,"")</f>
        <v>0</v>
      </c>
      <c r="C954" s="2">
        <f>IF(B954="", "", "missing: not provided")</f>
        <v>0</v>
      </c>
      <c r="D954" s="1">
        <f>IF(B954="", "", "weeks")</f>
        <v>0</v>
      </c>
      <c r="E954" s="1">
        <f>IF(B954="", "", "urban biome")</f>
        <v>0</v>
      </c>
      <c r="F954" s="1">
        <f>IF(B954="", "", "animal-associated habitat")</f>
        <v>0</v>
      </c>
      <c r="G954" s="1">
        <f>IF(B954="", "", "mouse")</f>
        <v>0</v>
      </c>
      <c r="H954" s="1">
        <f>IF(B954="", "", "Mus musculus")</f>
        <v>0</v>
      </c>
      <c r="I954" s="1">
        <f>IF(B954="", "", "10090")</f>
        <v>0</v>
      </c>
      <c r="J954" s="2">
        <f>IF(B954="", "", "missing: not provided")</f>
        <v>0</v>
      </c>
      <c r="K954" s="1">
        <f>IF(B954="", "", "g")</f>
        <v>0</v>
      </c>
    </row>
    <row r="955" spans="1:11">
      <c r="A955">
        <f>IF(COUNTBLANK(B955:K955)&lt;&gt;COLUMNS(B955:K955),954,"")</f>
        <v>0</v>
      </c>
      <c r="C955" s="2">
        <f>IF(B955="", "", "missing: not provided")</f>
        <v>0</v>
      </c>
      <c r="D955" s="1">
        <f>IF(B955="", "", "weeks")</f>
        <v>0</v>
      </c>
      <c r="E955" s="1">
        <f>IF(B955="", "", "urban biome")</f>
        <v>0</v>
      </c>
      <c r="F955" s="1">
        <f>IF(B955="", "", "animal-associated habitat")</f>
        <v>0</v>
      </c>
      <c r="G955" s="1">
        <f>IF(B955="", "", "mouse")</f>
        <v>0</v>
      </c>
      <c r="H955" s="1">
        <f>IF(B955="", "", "Mus musculus")</f>
        <v>0</v>
      </c>
      <c r="I955" s="1">
        <f>IF(B955="", "", "10090")</f>
        <v>0</v>
      </c>
      <c r="J955" s="2">
        <f>IF(B955="", "", "missing: not provided")</f>
        <v>0</v>
      </c>
      <c r="K955" s="1">
        <f>IF(B955="", "", "g")</f>
        <v>0</v>
      </c>
    </row>
    <row r="956" spans="1:11">
      <c r="A956">
        <f>IF(COUNTBLANK(B956:K956)&lt;&gt;COLUMNS(B956:K956),955,"")</f>
        <v>0</v>
      </c>
      <c r="C956" s="2">
        <f>IF(B956="", "", "missing: not provided")</f>
        <v>0</v>
      </c>
      <c r="D956" s="1">
        <f>IF(B956="", "", "weeks")</f>
        <v>0</v>
      </c>
      <c r="E956" s="1">
        <f>IF(B956="", "", "urban biome")</f>
        <v>0</v>
      </c>
      <c r="F956" s="1">
        <f>IF(B956="", "", "animal-associated habitat")</f>
        <v>0</v>
      </c>
      <c r="G956" s="1">
        <f>IF(B956="", "", "mouse")</f>
        <v>0</v>
      </c>
      <c r="H956" s="1">
        <f>IF(B956="", "", "Mus musculus")</f>
        <v>0</v>
      </c>
      <c r="I956" s="1">
        <f>IF(B956="", "", "10090")</f>
        <v>0</v>
      </c>
      <c r="J956" s="2">
        <f>IF(B956="", "", "missing: not provided")</f>
        <v>0</v>
      </c>
      <c r="K956" s="1">
        <f>IF(B956="", "", "g")</f>
        <v>0</v>
      </c>
    </row>
    <row r="957" spans="1:11">
      <c r="A957">
        <f>IF(COUNTBLANK(B957:K957)&lt;&gt;COLUMNS(B957:K957),956,"")</f>
        <v>0</v>
      </c>
      <c r="C957" s="2">
        <f>IF(B957="", "", "missing: not provided")</f>
        <v>0</v>
      </c>
      <c r="D957" s="1">
        <f>IF(B957="", "", "weeks")</f>
        <v>0</v>
      </c>
      <c r="E957" s="1">
        <f>IF(B957="", "", "urban biome")</f>
        <v>0</v>
      </c>
      <c r="F957" s="1">
        <f>IF(B957="", "", "animal-associated habitat")</f>
        <v>0</v>
      </c>
      <c r="G957" s="1">
        <f>IF(B957="", "", "mouse")</f>
        <v>0</v>
      </c>
      <c r="H957" s="1">
        <f>IF(B957="", "", "Mus musculus")</f>
        <v>0</v>
      </c>
      <c r="I957" s="1">
        <f>IF(B957="", "", "10090")</f>
        <v>0</v>
      </c>
      <c r="J957" s="2">
        <f>IF(B957="", "", "missing: not provided")</f>
        <v>0</v>
      </c>
      <c r="K957" s="1">
        <f>IF(B957="", "", "g")</f>
        <v>0</v>
      </c>
    </row>
    <row r="958" spans="1:11">
      <c r="A958">
        <f>IF(COUNTBLANK(B958:K958)&lt;&gt;COLUMNS(B958:K958),957,"")</f>
        <v>0</v>
      </c>
      <c r="C958" s="2">
        <f>IF(B958="", "", "missing: not provided")</f>
        <v>0</v>
      </c>
      <c r="D958" s="1">
        <f>IF(B958="", "", "weeks")</f>
        <v>0</v>
      </c>
      <c r="E958" s="1">
        <f>IF(B958="", "", "urban biome")</f>
        <v>0</v>
      </c>
      <c r="F958" s="1">
        <f>IF(B958="", "", "animal-associated habitat")</f>
        <v>0</v>
      </c>
      <c r="G958" s="1">
        <f>IF(B958="", "", "mouse")</f>
        <v>0</v>
      </c>
      <c r="H958" s="1">
        <f>IF(B958="", "", "Mus musculus")</f>
        <v>0</v>
      </c>
      <c r="I958" s="1">
        <f>IF(B958="", "", "10090")</f>
        <v>0</v>
      </c>
      <c r="J958" s="2">
        <f>IF(B958="", "", "missing: not provided")</f>
        <v>0</v>
      </c>
      <c r="K958" s="1">
        <f>IF(B958="", "", "g")</f>
        <v>0</v>
      </c>
    </row>
    <row r="959" spans="1:11">
      <c r="A959">
        <f>IF(COUNTBLANK(B959:K959)&lt;&gt;COLUMNS(B959:K959),958,"")</f>
        <v>0</v>
      </c>
      <c r="C959" s="2">
        <f>IF(B959="", "", "missing: not provided")</f>
        <v>0</v>
      </c>
      <c r="D959" s="1">
        <f>IF(B959="", "", "weeks")</f>
        <v>0</v>
      </c>
      <c r="E959" s="1">
        <f>IF(B959="", "", "urban biome")</f>
        <v>0</v>
      </c>
      <c r="F959" s="1">
        <f>IF(B959="", "", "animal-associated habitat")</f>
        <v>0</v>
      </c>
      <c r="G959" s="1">
        <f>IF(B959="", "", "mouse")</f>
        <v>0</v>
      </c>
      <c r="H959" s="1">
        <f>IF(B959="", "", "Mus musculus")</f>
        <v>0</v>
      </c>
      <c r="I959" s="1">
        <f>IF(B959="", "", "10090")</f>
        <v>0</v>
      </c>
      <c r="J959" s="2">
        <f>IF(B959="", "", "missing: not provided")</f>
        <v>0</v>
      </c>
      <c r="K959" s="1">
        <f>IF(B959="", "", "g")</f>
        <v>0</v>
      </c>
    </row>
    <row r="960" spans="1:11">
      <c r="A960">
        <f>IF(COUNTBLANK(B960:K960)&lt;&gt;COLUMNS(B960:K960),959,"")</f>
        <v>0</v>
      </c>
      <c r="C960" s="2">
        <f>IF(B960="", "", "missing: not provided")</f>
        <v>0</v>
      </c>
      <c r="D960" s="1">
        <f>IF(B960="", "", "weeks")</f>
        <v>0</v>
      </c>
      <c r="E960" s="1">
        <f>IF(B960="", "", "urban biome")</f>
        <v>0</v>
      </c>
      <c r="F960" s="1">
        <f>IF(B960="", "", "animal-associated habitat")</f>
        <v>0</v>
      </c>
      <c r="G960" s="1">
        <f>IF(B960="", "", "mouse")</f>
        <v>0</v>
      </c>
      <c r="H960" s="1">
        <f>IF(B960="", "", "Mus musculus")</f>
        <v>0</v>
      </c>
      <c r="I960" s="1">
        <f>IF(B960="", "", "10090")</f>
        <v>0</v>
      </c>
      <c r="J960" s="2">
        <f>IF(B960="", "", "missing: not provided")</f>
        <v>0</v>
      </c>
      <c r="K960" s="1">
        <f>IF(B960="", "", "g")</f>
        <v>0</v>
      </c>
    </row>
    <row r="961" spans="1:11">
      <c r="A961">
        <f>IF(COUNTBLANK(B961:K961)&lt;&gt;COLUMNS(B961:K961),960,"")</f>
        <v>0</v>
      </c>
      <c r="C961" s="2">
        <f>IF(B961="", "", "missing: not provided")</f>
        <v>0</v>
      </c>
      <c r="D961" s="1">
        <f>IF(B961="", "", "weeks")</f>
        <v>0</v>
      </c>
      <c r="E961" s="1">
        <f>IF(B961="", "", "urban biome")</f>
        <v>0</v>
      </c>
      <c r="F961" s="1">
        <f>IF(B961="", "", "animal-associated habitat")</f>
        <v>0</v>
      </c>
      <c r="G961" s="1">
        <f>IF(B961="", "", "mouse")</f>
        <v>0</v>
      </c>
      <c r="H961" s="1">
        <f>IF(B961="", "", "Mus musculus")</f>
        <v>0</v>
      </c>
      <c r="I961" s="1">
        <f>IF(B961="", "", "10090")</f>
        <v>0</v>
      </c>
      <c r="J961" s="2">
        <f>IF(B961="", "", "missing: not provided")</f>
        <v>0</v>
      </c>
      <c r="K961" s="1">
        <f>IF(B961="", "", "g")</f>
        <v>0</v>
      </c>
    </row>
    <row r="962" spans="1:11">
      <c r="A962">
        <f>IF(COUNTBLANK(B962:K962)&lt;&gt;COLUMNS(B962:K962),961,"")</f>
        <v>0</v>
      </c>
      <c r="C962" s="2">
        <f>IF(B962="", "", "missing: not provided")</f>
        <v>0</v>
      </c>
      <c r="D962" s="1">
        <f>IF(B962="", "", "weeks")</f>
        <v>0</v>
      </c>
      <c r="E962" s="1">
        <f>IF(B962="", "", "urban biome")</f>
        <v>0</v>
      </c>
      <c r="F962" s="1">
        <f>IF(B962="", "", "animal-associated habitat")</f>
        <v>0</v>
      </c>
      <c r="G962" s="1">
        <f>IF(B962="", "", "mouse")</f>
        <v>0</v>
      </c>
      <c r="H962" s="1">
        <f>IF(B962="", "", "Mus musculus")</f>
        <v>0</v>
      </c>
      <c r="I962" s="1">
        <f>IF(B962="", "", "10090")</f>
        <v>0</v>
      </c>
      <c r="J962" s="2">
        <f>IF(B962="", "", "missing: not provided")</f>
        <v>0</v>
      </c>
      <c r="K962" s="1">
        <f>IF(B962="", "", "g")</f>
        <v>0</v>
      </c>
    </row>
    <row r="963" spans="1:11">
      <c r="A963">
        <f>IF(COUNTBLANK(B963:K963)&lt;&gt;COLUMNS(B963:K963),962,"")</f>
        <v>0</v>
      </c>
      <c r="C963" s="2">
        <f>IF(B963="", "", "missing: not provided")</f>
        <v>0</v>
      </c>
      <c r="D963" s="1">
        <f>IF(B963="", "", "weeks")</f>
        <v>0</v>
      </c>
      <c r="E963" s="1">
        <f>IF(B963="", "", "urban biome")</f>
        <v>0</v>
      </c>
      <c r="F963" s="1">
        <f>IF(B963="", "", "animal-associated habitat")</f>
        <v>0</v>
      </c>
      <c r="G963" s="1">
        <f>IF(B963="", "", "mouse")</f>
        <v>0</v>
      </c>
      <c r="H963" s="1">
        <f>IF(B963="", "", "Mus musculus")</f>
        <v>0</v>
      </c>
      <c r="I963" s="1">
        <f>IF(B963="", "", "10090")</f>
        <v>0</v>
      </c>
      <c r="J963" s="2">
        <f>IF(B963="", "", "missing: not provided")</f>
        <v>0</v>
      </c>
      <c r="K963" s="1">
        <f>IF(B963="", "", "g")</f>
        <v>0</v>
      </c>
    </row>
    <row r="964" spans="1:11">
      <c r="A964">
        <f>IF(COUNTBLANK(B964:K964)&lt;&gt;COLUMNS(B964:K964),963,"")</f>
        <v>0</v>
      </c>
      <c r="C964" s="2">
        <f>IF(B964="", "", "missing: not provided")</f>
        <v>0</v>
      </c>
      <c r="D964" s="1">
        <f>IF(B964="", "", "weeks")</f>
        <v>0</v>
      </c>
      <c r="E964" s="1">
        <f>IF(B964="", "", "urban biome")</f>
        <v>0</v>
      </c>
      <c r="F964" s="1">
        <f>IF(B964="", "", "animal-associated habitat")</f>
        <v>0</v>
      </c>
      <c r="G964" s="1">
        <f>IF(B964="", "", "mouse")</f>
        <v>0</v>
      </c>
      <c r="H964" s="1">
        <f>IF(B964="", "", "Mus musculus")</f>
        <v>0</v>
      </c>
      <c r="I964" s="1">
        <f>IF(B964="", "", "10090")</f>
        <v>0</v>
      </c>
      <c r="J964" s="2">
        <f>IF(B964="", "", "missing: not provided")</f>
        <v>0</v>
      </c>
      <c r="K964" s="1">
        <f>IF(B964="", "", "g")</f>
        <v>0</v>
      </c>
    </row>
    <row r="965" spans="1:11">
      <c r="A965">
        <f>IF(COUNTBLANK(B965:K965)&lt;&gt;COLUMNS(B965:K965),964,"")</f>
        <v>0</v>
      </c>
      <c r="C965" s="2">
        <f>IF(B965="", "", "missing: not provided")</f>
        <v>0</v>
      </c>
      <c r="D965" s="1">
        <f>IF(B965="", "", "weeks")</f>
        <v>0</v>
      </c>
      <c r="E965" s="1">
        <f>IF(B965="", "", "urban biome")</f>
        <v>0</v>
      </c>
      <c r="F965" s="1">
        <f>IF(B965="", "", "animal-associated habitat")</f>
        <v>0</v>
      </c>
      <c r="G965" s="1">
        <f>IF(B965="", "", "mouse")</f>
        <v>0</v>
      </c>
      <c r="H965" s="1">
        <f>IF(B965="", "", "Mus musculus")</f>
        <v>0</v>
      </c>
      <c r="I965" s="1">
        <f>IF(B965="", "", "10090")</f>
        <v>0</v>
      </c>
      <c r="J965" s="2">
        <f>IF(B965="", "", "missing: not provided")</f>
        <v>0</v>
      </c>
      <c r="K965" s="1">
        <f>IF(B965="", "", "g")</f>
        <v>0</v>
      </c>
    </row>
    <row r="966" spans="1:11">
      <c r="A966">
        <f>IF(COUNTBLANK(B966:K966)&lt;&gt;COLUMNS(B966:K966),965,"")</f>
        <v>0</v>
      </c>
      <c r="C966" s="2">
        <f>IF(B966="", "", "missing: not provided")</f>
        <v>0</v>
      </c>
      <c r="D966" s="1">
        <f>IF(B966="", "", "weeks")</f>
        <v>0</v>
      </c>
      <c r="E966" s="1">
        <f>IF(B966="", "", "urban biome")</f>
        <v>0</v>
      </c>
      <c r="F966" s="1">
        <f>IF(B966="", "", "animal-associated habitat")</f>
        <v>0</v>
      </c>
      <c r="G966" s="1">
        <f>IF(B966="", "", "mouse")</f>
        <v>0</v>
      </c>
      <c r="H966" s="1">
        <f>IF(B966="", "", "Mus musculus")</f>
        <v>0</v>
      </c>
      <c r="I966" s="1">
        <f>IF(B966="", "", "10090")</f>
        <v>0</v>
      </c>
      <c r="J966" s="2">
        <f>IF(B966="", "", "missing: not provided")</f>
        <v>0</v>
      </c>
      <c r="K966" s="1">
        <f>IF(B966="", "", "g")</f>
        <v>0</v>
      </c>
    </row>
    <row r="967" spans="1:11">
      <c r="A967">
        <f>IF(COUNTBLANK(B967:K967)&lt;&gt;COLUMNS(B967:K967),966,"")</f>
        <v>0</v>
      </c>
      <c r="C967" s="2">
        <f>IF(B967="", "", "missing: not provided")</f>
        <v>0</v>
      </c>
      <c r="D967" s="1">
        <f>IF(B967="", "", "weeks")</f>
        <v>0</v>
      </c>
      <c r="E967" s="1">
        <f>IF(B967="", "", "urban biome")</f>
        <v>0</v>
      </c>
      <c r="F967" s="1">
        <f>IF(B967="", "", "animal-associated habitat")</f>
        <v>0</v>
      </c>
      <c r="G967" s="1">
        <f>IF(B967="", "", "mouse")</f>
        <v>0</v>
      </c>
      <c r="H967" s="1">
        <f>IF(B967="", "", "Mus musculus")</f>
        <v>0</v>
      </c>
      <c r="I967" s="1">
        <f>IF(B967="", "", "10090")</f>
        <v>0</v>
      </c>
      <c r="J967" s="2">
        <f>IF(B967="", "", "missing: not provided")</f>
        <v>0</v>
      </c>
      <c r="K967" s="1">
        <f>IF(B967="", "", "g")</f>
        <v>0</v>
      </c>
    </row>
    <row r="968" spans="1:11">
      <c r="A968">
        <f>IF(COUNTBLANK(B968:K968)&lt;&gt;COLUMNS(B968:K968),967,"")</f>
        <v>0</v>
      </c>
      <c r="C968" s="2">
        <f>IF(B968="", "", "missing: not provided")</f>
        <v>0</v>
      </c>
      <c r="D968" s="1">
        <f>IF(B968="", "", "weeks")</f>
        <v>0</v>
      </c>
      <c r="E968" s="1">
        <f>IF(B968="", "", "urban biome")</f>
        <v>0</v>
      </c>
      <c r="F968" s="1">
        <f>IF(B968="", "", "animal-associated habitat")</f>
        <v>0</v>
      </c>
      <c r="G968" s="1">
        <f>IF(B968="", "", "mouse")</f>
        <v>0</v>
      </c>
      <c r="H968" s="1">
        <f>IF(B968="", "", "Mus musculus")</f>
        <v>0</v>
      </c>
      <c r="I968" s="1">
        <f>IF(B968="", "", "10090")</f>
        <v>0</v>
      </c>
      <c r="J968" s="2">
        <f>IF(B968="", "", "missing: not provided")</f>
        <v>0</v>
      </c>
      <c r="K968" s="1">
        <f>IF(B968="", "", "g")</f>
        <v>0</v>
      </c>
    </row>
    <row r="969" spans="1:11">
      <c r="A969">
        <f>IF(COUNTBLANK(B969:K969)&lt;&gt;COLUMNS(B969:K969),968,"")</f>
        <v>0</v>
      </c>
      <c r="C969" s="2">
        <f>IF(B969="", "", "missing: not provided")</f>
        <v>0</v>
      </c>
      <c r="D969" s="1">
        <f>IF(B969="", "", "weeks")</f>
        <v>0</v>
      </c>
      <c r="E969" s="1">
        <f>IF(B969="", "", "urban biome")</f>
        <v>0</v>
      </c>
      <c r="F969" s="1">
        <f>IF(B969="", "", "animal-associated habitat")</f>
        <v>0</v>
      </c>
      <c r="G969" s="1">
        <f>IF(B969="", "", "mouse")</f>
        <v>0</v>
      </c>
      <c r="H969" s="1">
        <f>IF(B969="", "", "Mus musculus")</f>
        <v>0</v>
      </c>
      <c r="I969" s="1">
        <f>IF(B969="", "", "10090")</f>
        <v>0</v>
      </c>
      <c r="J969" s="2">
        <f>IF(B969="", "", "missing: not provided")</f>
        <v>0</v>
      </c>
      <c r="K969" s="1">
        <f>IF(B969="", "", "g")</f>
        <v>0</v>
      </c>
    </row>
    <row r="970" spans="1:11">
      <c r="A970">
        <f>IF(COUNTBLANK(B970:K970)&lt;&gt;COLUMNS(B970:K970),969,"")</f>
        <v>0</v>
      </c>
      <c r="C970" s="2">
        <f>IF(B970="", "", "missing: not provided")</f>
        <v>0</v>
      </c>
      <c r="D970" s="1">
        <f>IF(B970="", "", "weeks")</f>
        <v>0</v>
      </c>
      <c r="E970" s="1">
        <f>IF(B970="", "", "urban biome")</f>
        <v>0</v>
      </c>
      <c r="F970" s="1">
        <f>IF(B970="", "", "animal-associated habitat")</f>
        <v>0</v>
      </c>
      <c r="G970" s="1">
        <f>IF(B970="", "", "mouse")</f>
        <v>0</v>
      </c>
      <c r="H970" s="1">
        <f>IF(B970="", "", "Mus musculus")</f>
        <v>0</v>
      </c>
      <c r="I970" s="1">
        <f>IF(B970="", "", "10090")</f>
        <v>0</v>
      </c>
      <c r="J970" s="2">
        <f>IF(B970="", "", "missing: not provided")</f>
        <v>0</v>
      </c>
      <c r="K970" s="1">
        <f>IF(B970="", "", "g")</f>
        <v>0</v>
      </c>
    </row>
    <row r="971" spans="1:11">
      <c r="A971">
        <f>IF(COUNTBLANK(B971:K971)&lt;&gt;COLUMNS(B971:K971),970,"")</f>
        <v>0</v>
      </c>
      <c r="C971" s="2">
        <f>IF(B971="", "", "missing: not provided")</f>
        <v>0</v>
      </c>
      <c r="D971" s="1">
        <f>IF(B971="", "", "weeks")</f>
        <v>0</v>
      </c>
      <c r="E971" s="1">
        <f>IF(B971="", "", "urban biome")</f>
        <v>0</v>
      </c>
      <c r="F971" s="1">
        <f>IF(B971="", "", "animal-associated habitat")</f>
        <v>0</v>
      </c>
      <c r="G971" s="1">
        <f>IF(B971="", "", "mouse")</f>
        <v>0</v>
      </c>
      <c r="H971" s="1">
        <f>IF(B971="", "", "Mus musculus")</f>
        <v>0</v>
      </c>
      <c r="I971" s="1">
        <f>IF(B971="", "", "10090")</f>
        <v>0</v>
      </c>
      <c r="J971" s="2">
        <f>IF(B971="", "", "missing: not provided")</f>
        <v>0</v>
      </c>
      <c r="K971" s="1">
        <f>IF(B971="", "", "g")</f>
        <v>0</v>
      </c>
    </row>
    <row r="972" spans="1:11">
      <c r="A972">
        <f>IF(COUNTBLANK(B972:K972)&lt;&gt;COLUMNS(B972:K972),971,"")</f>
        <v>0</v>
      </c>
      <c r="C972" s="2">
        <f>IF(B972="", "", "missing: not provided")</f>
        <v>0</v>
      </c>
      <c r="D972" s="1">
        <f>IF(B972="", "", "weeks")</f>
        <v>0</v>
      </c>
      <c r="E972" s="1">
        <f>IF(B972="", "", "urban biome")</f>
        <v>0</v>
      </c>
      <c r="F972" s="1">
        <f>IF(B972="", "", "animal-associated habitat")</f>
        <v>0</v>
      </c>
      <c r="G972" s="1">
        <f>IF(B972="", "", "mouse")</f>
        <v>0</v>
      </c>
      <c r="H972" s="1">
        <f>IF(B972="", "", "Mus musculus")</f>
        <v>0</v>
      </c>
      <c r="I972" s="1">
        <f>IF(B972="", "", "10090")</f>
        <v>0</v>
      </c>
      <c r="J972" s="2">
        <f>IF(B972="", "", "missing: not provided")</f>
        <v>0</v>
      </c>
      <c r="K972" s="1">
        <f>IF(B972="", "", "g")</f>
        <v>0</v>
      </c>
    </row>
    <row r="973" spans="1:11">
      <c r="A973">
        <f>IF(COUNTBLANK(B973:K973)&lt;&gt;COLUMNS(B973:K973),972,"")</f>
        <v>0</v>
      </c>
      <c r="C973" s="2">
        <f>IF(B973="", "", "missing: not provided")</f>
        <v>0</v>
      </c>
      <c r="D973" s="1">
        <f>IF(B973="", "", "weeks")</f>
        <v>0</v>
      </c>
      <c r="E973" s="1">
        <f>IF(B973="", "", "urban biome")</f>
        <v>0</v>
      </c>
      <c r="F973" s="1">
        <f>IF(B973="", "", "animal-associated habitat")</f>
        <v>0</v>
      </c>
      <c r="G973" s="1">
        <f>IF(B973="", "", "mouse")</f>
        <v>0</v>
      </c>
      <c r="H973" s="1">
        <f>IF(B973="", "", "Mus musculus")</f>
        <v>0</v>
      </c>
      <c r="I973" s="1">
        <f>IF(B973="", "", "10090")</f>
        <v>0</v>
      </c>
      <c r="J973" s="2">
        <f>IF(B973="", "", "missing: not provided")</f>
        <v>0</v>
      </c>
      <c r="K973" s="1">
        <f>IF(B973="", "", "g")</f>
        <v>0</v>
      </c>
    </row>
    <row r="974" spans="1:11">
      <c r="A974">
        <f>IF(COUNTBLANK(B974:K974)&lt;&gt;COLUMNS(B974:K974),973,"")</f>
        <v>0</v>
      </c>
      <c r="C974" s="2">
        <f>IF(B974="", "", "missing: not provided")</f>
        <v>0</v>
      </c>
      <c r="D974" s="1">
        <f>IF(B974="", "", "weeks")</f>
        <v>0</v>
      </c>
      <c r="E974" s="1">
        <f>IF(B974="", "", "urban biome")</f>
        <v>0</v>
      </c>
      <c r="F974" s="1">
        <f>IF(B974="", "", "animal-associated habitat")</f>
        <v>0</v>
      </c>
      <c r="G974" s="1">
        <f>IF(B974="", "", "mouse")</f>
        <v>0</v>
      </c>
      <c r="H974" s="1">
        <f>IF(B974="", "", "Mus musculus")</f>
        <v>0</v>
      </c>
      <c r="I974" s="1">
        <f>IF(B974="", "", "10090")</f>
        <v>0</v>
      </c>
      <c r="J974" s="2">
        <f>IF(B974="", "", "missing: not provided")</f>
        <v>0</v>
      </c>
      <c r="K974" s="1">
        <f>IF(B974="", "", "g")</f>
        <v>0</v>
      </c>
    </row>
    <row r="975" spans="1:11">
      <c r="A975">
        <f>IF(COUNTBLANK(B975:K975)&lt;&gt;COLUMNS(B975:K975),974,"")</f>
        <v>0</v>
      </c>
      <c r="C975" s="2">
        <f>IF(B975="", "", "missing: not provided")</f>
        <v>0</v>
      </c>
      <c r="D975" s="1">
        <f>IF(B975="", "", "weeks")</f>
        <v>0</v>
      </c>
      <c r="E975" s="1">
        <f>IF(B975="", "", "urban biome")</f>
        <v>0</v>
      </c>
      <c r="F975" s="1">
        <f>IF(B975="", "", "animal-associated habitat")</f>
        <v>0</v>
      </c>
      <c r="G975" s="1">
        <f>IF(B975="", "", "mouse")</f>
        <v>0</v>
      </c>
      <c r="H975" s="1">
        <f>IF(B975="", "", "Mus musculus")</f>
        <v>0</v>
      </c>
      <c r="I975" s="1">
        <f>IF(B975="", "", "10090")</f>
        <v>0</v>
      </c>
      <c r="J975" s="2">
        <f>IF(B975="", "", "missing: not provided")</f>
        <v>0</v>
      </c>
      <c r="K975" s="1">
        <f>IF(B975="", "", "g")</f>
        <v>0</v>
      </c>
    </row>
    <row r="976" spans="1:11">
      <c r="A976">
        <f>IF(COUNTBLANK(B976:K976)&lt;&gt;COLUMNS(B976:K976),975,"")</f>
        <v>0</v>
      </c>
      <c r="C976" s="2">
        <f>IF(B976="", "", "missing: not provided")</f>
        <v>0</v>
      </c>
      <c r="D976" s="1">
        <f>IF(B976="", "", "weeks")</f>
        <v>0</v>
      </c>
      <c r="E976" s="1">
        <f>IF(B976="", "", "urban biome")</f>
        <v>0</v>
      </c>
      <c r="F976" s="1">
        <f>IF(B976="", "", "animal-associated habitat")</f>
        <v>0</v>
      </c>
      <c r="G976" s="1">
        <f>IF(B976="", "", "mouse")</f>
        <v>0</v>
      </c>
      <c r="H976" s="1">
        <f>IF(B976="", "", "Mus musculus")</f>
        <v>0</v>
      </c>
      <c r="I976" s="1">
        <f>IF(B976="", "", "10090")</f>
        <v>0</v>
      </c>
      <c r="J976" s="2">
        <f>IF(B976="", "", "missing: not provided")</f>
        <v>0</v>
      </c>
      <c r="K976" s="1">
        <f>IF(B976="", "", "g")</f>
        <v>0</v>
      </c>
    </row>
    <row r="977" spans="1:11">
      <c r="A977">
        <f>IF(COUNTBLANK(B977:K977)&lt;&gt;COLUMNS(B977:K977),976,"")</f>
        <v>0</v>
      </c>
      <c r="C977" s="2">
        <f>IF(B977="", "", "missing: not provided")</f>
        <v>0</v>
      </c>
      <c r="D977" s="1">
        <f>IF(B977="", "", "weeks")</f>
        <v>0</v>
      </c>
      <c r="E977" s="1">
        <f>IF(B977="", "", "urban biome")</f>
        <v>0</v>
      </c>
      <c r="F977" s="1">
        <f>IF(B977="", "", "animal-associated habitat")</f>
        <v>0</v>
      </c>
      <c r="G977" s="1">
        <f>IF(B977="", "", "mouse")</f>
        <v>0</v>
      </c>
      <c r="H977" s="1">
        <f>IF(B977="", "", "Mus musculus")</f>
        <v>0</v>
      </c>
      <c r="I977" s="1">
        <f>IF(B977="", "", "10090")</f>
        <v>0</v>
      </c>
      <c r="J977" s="2">
        <f>IF(B977="", "", "missing: not provided")</f>
        <v>0</v>
      </c>
      <c r="K977" s="1">
        <f>IF(B977="", "", "g")</f>
        <v>0</v>
      </c>
    </row>
    <row r="978" spans="1:11">
      <c r="A978">
        <f>IF(COUNTBLANK(B978:K978)&lt;&gt;COLUMNS(B978:K978),977,"")</f>
        <v>0</v>
      </c>
      <c r="C978" s="2">
        <f>IF(B978="", "", "missing: not provided")</f>
        <v>0</v>
      </c>
      <c r="D978" s="1">
        <f>IF(B978="", "", "weeks")</f>
        <v>0</v>
      </c>
      <c r="E978" s="1">
        <f>IF(B978="", "", "urban biome")</f>
        <v>0</v>
      </c>
      <c r="F978" s="1">
        <f>IF(B978="", "", "animal-associated habitat")</f>
        <v>0</v>
      </c>
      <c r="G978" s="1">
        <f>IF(B978="", "", "mouse")</f>
        <v>0</v>
      </c>
      <c r="H978" s="1">
        <f>IF(B978="", "", "Mus musculus")</f>
        <v>0</v>
      </c>
      <c r="I978" s="1">
        <f>IF(B978="", "", "10090")</f>
        <v>0</v>
      </c>
      <c r="J978" s="2">
        <f>IF(B978="", "", "missing: not provided")</f>
        <v>0</v>
      </c>
      <c r="K978" s="1">
        <f>IF(B978="", "", "g")</f>
        <v>0</v>
      </c>
    </row>
    <row r="979" spans="1:11">
      <c r="A979">
        <f>IF(COUNTBLANK(B979:K979)&lt;&gt;COLUMNS(B979:K979),978,"")</f>
        <v>0</v>
      </c>
      <c r="C979" s="2">
        <f>IF(B979="", "", "missing: not provided")</f>
        <v>0</v>
      </c>
      <c r="D979" s="1">
        <f>IF(B979="", "", "weeks")</f>
        <v>0</v>
      </c>
      <c r="E979" s="1">
        <f>IF(B979="", "", "urban biome")</f>
        <v>0</v>
      </c>
      <c r="F979" s="1">
        <f>IF(B979="", "", "animal-associated habitat")</f>
        <v>0</v>
      </c>
      <c r="G979" s="1">
        <f>IF(B979="", "", "mouse")</f>
        <v>0</v>
      </c>
      <c r="H979" s="1">
        <f>IF(B979="", "", "Mus musculus")</f>
        <v>0</v>
      </c>
      <c r="I979" s="1">
        <f>IF(B979="", "", "10090")</f>
        <v>0</v>
      </c>
      <c r="J979" s="2">
        <f>IF(B979="", "", "missing: not provided")</f>
        <v>0</v>
      </c>
      <c r="K979" s="1">
        <f>IF(B979="", "", "g")</f>
        <v>0</v>
      </c>
    </row>
    <row r="980" spans="1:11">
      <c r="A980">
        <f>IF(COUNTBLANK(B980:K980)&lt;&gt;COLUMNS(B980:K980),979,"")</f>
        <v>0</v>
      </c>
      <c r="C980" s="2">
        <f>IF(B980="", "", "missing: not provided")</f>
        <v>0</v>
      </c>
      <c r="D980" s="1">
        <f>IF(B980="", "", "weeks")</f>
        <v>0</v>
      </c>
      <c r="E980" s="1">
        <f>IF(B980="", "", "urban biome")</f>
        <v>0</v>
      </c>
      <c r="F980" s="1">
        <f>IF(B980="", "", "animal-associated habitat")</f>
        <v>0</v>
      </c>
      <c r="G980" s="1">
        <f>IF(B980="", "", "mouse")</f>
        <v>0</v>
      </c>
      <c r="H980" s="1">
        <f>IF(B980="", "", "Mus musculus")</f>
        <v>0</v>
      </c>
      <c r="I980" s="1">
        <f>IF(B980="", "", "10090")</f>
        <v>0</v>
      </c>
      <c r="J980" s="2">
        <f>IF(B980="", "", "missing: not provided")</f>
        <v>0</v>
      </c>
      <c r="K980" s="1">
        <f>IF(B980="", "", "g")</f>
        <v>0</v>
      </c>
    </row>
    <row r="981" spans="1:11">
      <c r="A981">
        <f>IF(COUNTBLANK(B981:K981)&lt;&gt;COLUMNS(B981:K981),980,"")</f>
        <v>0</v>
      </c>
      <c r="C981" s="2">
        <f>IF(B981="", "", "missing: not provided")</f>
        <v>0</v>
      </c>
      <c r="D981" s="1">
        <f>IF(B981="", "", "weeks")</f>
        <v>0</v>
      </c>
      <c r="E981" s="1">
        <f>IF(B981="", "", "urban biome")</f>
        <v>0</v>
      </c>
      <c r="F981" s="1">
        <f>IF(B981="", "", "animal-associated habitat")</f>
        <v>0</v>
      </c>
      <c r="G981" s="1">
        <f>IF(B981="", "", "mouse")</f>
        <v>0</v>
      </c>
      <c r="H981" s="1">
        <f>IF(B981="", "", "Mus musculus")</f>
        <v>0</v>
      </c>
      <c r="I981" s="1">
        <f>IF(B981="", "", "10090")</f>
        <v>0</v>
      </c>
      <c r="J981" s="2">
        <f>IF(B981="", "", "missing: not provided")</f>
        <v>0</v>
      </c>
      <c r="K981" s="1">
        <f>IF(B981="", "", "g")</f>
        <v>0</v>
      </c>
    </row>
    <row r="982" spans="1:11">
      <c r="A982">
        <f>IF(COUNTBLANK(B982:K982)&lt;&gt;COLUMNS(B982:K982),981,"")</f>
        <v>0</v>
      </c>
      <c r="C982" s="2">
        <f>IF(B982="", "", "missing: not provided")</f>
        <v>0</v>
      </c>
      <c r="D982" s="1">
        <f>IF(B982="", "", "weeks")</f>
        <v>0</v>
      </c>
      <c r="E982" s="1">
        <f>IF(B982="", "", "urban biome")</f>
        <v>0</v>
      </c>
      <c r="F982" s="1">
        <f>IF(B982="", "", "animal-associated habitat")</f>
        <v>0</v>
      </c>
      <c r="G982" s="1">
        <f>IF(B982="", "", "mouse")</f>
        <v>0</v>
      </c>
      <c r="H982" s="1">
        <f>IF(B982="", "", "Mus musculus")</f>
        <v>0</v>
      </c>
      <c r="I982" s="1">
        <f>IF(B982="", "", "10090")</f>
        <v>0</v>
      </c>
      <c r="J982" s="2">
        <f>IF(B982="", "", "missing: not provided")</f>
        <v>0</v>
      </c>
      <c r="K982" s="1">
        <f>IF(B982="", "", "g")</f>
        <v>0</v>
      </c>
    </row>
    <row r="983" spans="1:11">
      <c r="A983">
        <f>IF(COUNTBLANK(B983:K983)&lt;&gt;COLUMNS(B983:K983),982,"")</f>
        <v>0</v>
      </c>
      <c r="C983" s="2">
        <f>IF(B983="", "", "missing: not provided")</f>
        <v>0</v>
      </c>
      <c r="D983" s="1">
        <f>IF(B983="", "", "weeks")</f>
        <v>0</v>
      </c>
      <c r="E983" s="1">
        <f>IF(B983="", "", "urban biome")</f>
        <v>0</v>
      </c>
      <c r="F983" s="1">
        <f>IF(B983="", "", "animal-associated habitat")</f>
        <v>0</v>
      </c>
      <c r="G983" s="1">
        <f>IF(B983="", "", "mouse")</f>
        <v>0</v>
      </c>
      <c r="H983" s="1">
        <f>IF(B983="", "", "Mus musculus")</f>
        <v>0</v>
      </c>
      <c r="I983" s="1">
        <f>IF(B983="", "", "10090")</f>
        <v>0</v>
      </c>
      <c r="J983" s="2">
        <f>IF(B983="", "", "missing: not provided")</f>
        <v>0</v>
      </c>
      <c r="K983" s="1">
        <f>IF(B983="", "", "g")</f>
        <v>0</v>
      </c>
    </row>
    <row r="984" spans="1:11">
      <c r="A984">
        <f>IF(COUNTBLANK(B984:K984)&lt;&gt;COLUMNS(B984:K984),983,"")</f>
        <v>0</v>
      </c>
      <c r="C984" s="2">
        <f>IF(B984="", "", "missing: not provided")</f>
        <v>0</v>
      </c>
      <c r="D984" s="1">
        <f>IF(B984="", "", "weeks")</f>
        <v>0</v>
      </c>
      <c r="E984" s="1">
        <f>IF(B984="", "", "urban biome")</f>
        <v>0</v>
      </c>
      <c r="F984" s="1">
        <f>IF(B984="", "", "animal-associated habitat")</f>
        <v>0</v>
      </c>
      <c r="G984" s="1">
        <f>IF(B984="", "", "mouse")</f>
        <v>0</v>
      </c>
      <c r="H984" s="1">
        <f>IF(B984="", "", "Mus musculus")</f>
        <v>0</v>
      </c>
      <c r="I984" s="1">
        <f>IF(B984="", "", "10090")</f>
        <v>0</v>
      </c>
      <c r="J984" s="2">
        <f>IF(B984="", "", "missing: not provided")</f>
        <v>0</v>
      </c>
      <c r="K984" s="1">
        <f>IF(B984="", "", "g")</f>
        <v>0</v>
      </c>
    </row>
    <row r="985" spans="1:11">
      <c r="A985">
        <f>IF(COUNTBLANK(B985:K985)&lt;&gt;COLUMNS(B985:K985),984,"")</f>
        <v>0</v>
      </c>
      <c r="C985" s="2">
        <f>IF(B985="", "", "missing: not provided")</f>
        <v>0</v>
      </c>
      <c r="D985" s="1">
        <f>IF(B985="", "", "weeks")</f>
        <v>0</v>
      </c>
      <c r="E985" s="1">
        <f>IF(B985="", "", "urban biome")</f>
        <v>0</v>
      </c>
      <c r="F985" s="1">
        <f>IF(B985="", "", "animal-associated habitat")</f>
        <v>0</v>
      </c>
      <c r="G985" s="1">
        <f>IF(B985="", "", "mouse")</f>
        <v>0</v>
      </c>
      <c r="H985" s="1">
        <f>IF(B985="", "", "Mus musculus")</f>
        <v>0</v>
      </c>
      <c r="I985" s="1">
        <f>IF(B985="", "", "10090")</f>
        <v>0</v>
      </c>
      <c r="J985" s="2">
        <f>IF(B985="", "", "missing: not provided")</f>
        <v>0</v>
      </c>
      <c r="K985" s="1">
        <f>IF(B985="", "", "g")</f>
        <v>0</v>
      </c>
    </row>
    <row r="986" spans="1:11">
      <c r="A986">
        <f>IF(COUNTBLANK(B986:K986)&lt;&gt;COLUMNS(B986:K986),985,"")</f>
        <v>0</v>
      </c>
      <c r="C986" s="2">
        <f>IF(B986="", "", "missing: not provided")</f>
        <v>0</v>
      </c>
      <c r="D986" s="1">
        <f>IF(B986="", "", "weeks")</f>
        <v>0</v>
      </c>
      <c r="E986" s="1">
        <f>IF(B986="", "", "urban biome")</f>
        <v>0</v>
      </c>
      <c r="F986" s="1">
        <f>IF(B986="", "", "animal-associated habitat")</f>
        <v>0</v>
      </c>
      <c r="G986" s="1">
        <f>IF(B986="", "", "mouse")</f>
        <v>0</v>
      </c>
      <c r="H986" s="1">
        <f>IF(B986="", "", "Mus musculus")</f>
        <v>0</v>
      </c>
      <c r="I986" s="1">
        <f>IF(B986="", "", "10090")</f>
        <v>0</v>
      </c>
      <c r="J986" s="2">
        <f>IF(B986="", "", "missing: not provided")</f>
        <v>0</v>
      </c>
      <c r="K986" s="1">
        <f>IF(B986="", "", "g")</f>
        <v>0</v>
      </c>
    </row>
    <row r="987" spans="1:11">
      <c r="A987">
        <f>IF(COUNTBLANK(B987:K987)&lt;&gt;COLUMNS(B987:K987),986,"")</f>
        <v>0</v>
      </c>
      <c r="C987" s="2">
        <f>IF(B987="", "", "missing: not provided")</f>
        <v>0</v>
      </c>
      <c r="D987" s="1">
        <f>IF(B987="", "", "weeks")</f>
        <v>0</v>
      </c>
      <c r="E987" s="1">
        <f>IF(B987="", "", "urban biome")</f>
        <v>0</v>
      </c>
      <c r="F987" s="1">
        <f>IF(B987="", "", "animal-associated habitat")</f>
        <v>0</v>
      </c>
      <c r="G987" s="1">
        <f>IF(B987="", "", "mouse")</f>
        <v>0</v>
      </c>
      <c r="H987" s="1">
        <f>IF(B987="", "", "Mus musculus")</f>
        <v>0</v>
      </c>
      <c r="I987" s="1">
        <f>IF(B987="", "", "10090")</f>
        <v>0</v>
      </c>
      <c r="J987" s="2">
        <f>IF(B987="", "", "missing: not provided")</f>
        <v>0</v>
      </c>
      <c r="K987" s="1">
        <f>IF(B987="", "", "g")</f>
        <v>0</v>
      </c>
    </row>
    <row r="988" spans="1:11">
      <c r="A988">
        <f>IF(COUNTBLANK(B988:K988)&lt;&gt;COLUMNS(B988:K988),987,"")</f>
        <v>0</v>
      </c>
      <c r="C988" s="2">
        <f>IF(B988="", "", "missing: not provided")</f>
        <v>0</v>
      </c>
      <c r="D988" s="1">
        <f>IF(B988="", "", "weeks")</f>
        <v>0</v>
      </c>
      <c r="E988" s="1">
        <f>IF(B988="", "", "urban biome")</f>
        <v>0</v>
      </c>
      <c r="F988" s="1">
        <f>IF(B988="", "", "animal-associated habitat")</f>
        <v>0</v>
      </c>
      <c r="G988" s="1">
        <f>IF(B988="", "", "mouse")</f>
        <v>0</v>
      </c>
      <c r="H988" s="1">
        <f>IF(B988="", "", "Mus musculus")</f>
        <v>0</v>
      </c>
      <c r="I988" s="1">
        <f>IF(B988="", "", "10090")</f>
        <v>0</v>
      </c>
      <c r="J988" s="2">
        <f>IF(B988="", "", "missing: not provided")</f>
        <v>0</v>
      </c>
      <c r="K988" s="1">
        <f>IF(B988="", "", "g")</f>
        <v>0</v>
      </c>
    </row>
    <row r="989" spans="1:11">
      <c r="A989">
        <f>IF(COUNTBLANK(B989:K989)&lt;&gt;COLUMNS(B989:K989),988,"")</f>
        <v>0</v>
      </c>
      <c r="C989" s="2">
        <f>IF(B989="", "", "missing: not provided")</f>
        <v>0</v>
      </c>
      <c r="D989" s="1">
        <f>IF(B989="", "", "weeks")</f>
        <v>0</v>
      </c>
      <c r="E989" s="1">
        <f>IF(B989="", "", "urban biome")</f>
        <v>0</v>
      </c>
      <c r="F989" s="1">
        <f>IF(B989="", "", "animal-associated habitat")</f>
        <v>0</v>
      </c>
      <c r="G989" s="1">
        <f>IF(B989="", "", "mouse")</f>
        <v>0</v>
      </c>
      <c r="H989" s="1">
        <f>IF(B989="", "", "Mus musculus")</f>
        <v>0</v>
      </c>
      <c r="I989" s="1">
        <f>IF(B989="", "", "10090")</f>
        <v>0</v>
      </c>
      <c r="J989" s="2">
        <f>IF(B989="", "", "missing: not provided")</f>
        <v>0</v>
      </c>
      <c r="K989" s="1">
        <f>IF(B989="", "", "g")</f>
        <v>0</v>
      </c>
    </row>
    <row r="990" spans="1:11">
      <c r="A990">
        <f>IF(COUNTBLANK(B990:K990)&lt;&gt;COLUMNS(B990:K990),989,"")</f>
        <v>0</v>
      </c>
      <c r="C990" s="2">
        <f>IF(B990="", "", "missing: not provided")</f>
        <v>0</v>
      </c>
      <c r="D990" s="1">
        <f>IF(B990="", "", "weeks")</f>
        <v>0</v>
      </c>
      <c r="E990" s="1">
        <f>IF(B990="", "", "urban biome")</f>
        <v>0</v>
      </c>
      <c r="F990" s="1">
        <f>IF(B990="", "", "animal-associated habitat")</f>
        <v>0</v>
      </c>
      <c r="G990" s="1">
        <f>IF(B990="", "", "mouse")</f>
        <v>0</v>
      </c>
      <c r="H990" s="1">
        <f>IF(B990="", "", "Mus musculus")</f>
        <v>0</v>
      </c>
      <c r="I990" s="1">
        <f>IF(B990="", "", "10090")</f>
        <v>0</v>
      </c>
      <c r="J990" s="2">
        <f>IF(B990="", "", "missing: not provided")</f>
        <v>0</v>
      </c>
      <c r="K990" s="1">
        <f>IF(B990="", "", "g")</f>
        <v>0</v>
      </c>
    </row>
    <row r="991" spans="1:11">
      <c r="A991">
        <f>IF(COUNTBLANK(B991:K991)&lt;&gt;COLUMNS(B991:K991),990,"")</f>
        <v>0</v>
      </c>
      <c r="C991" s="2">
        <f>IF(B991="", "", "missing: not provided")</f>
        <v>0</v>
      </c>
      <c r="D991" s="1">
        <f>IF(B991="", "", "weeks")</f>
        <v>0</v>
      </c>
      <c r="E991" s="1">
        <f>IF(B991="", "", "urban biome")</f>
        <v>0</v>
      </c>
      <c r="F991" s="1">
        <f>IF(B991="", "", "animal-associated habitat")</f>
        <v>0</v>
      </c>
      <c r="G991" s="1">
        <f>IF(B991="", "", "mouse")</f>
        <v>0</v>
      </c>
      <c r="H991" s="1">
        <f>IF(B991="", "", "Mus musculus")</f>
        <v>0</v>
      </c>
      <c r="I991" s="1">
        <f>IF(B991="", "", "10090")</f>
        <v>0</v>
      </c>
      <c r="J991" s="2">
        <f>IF(B991="", "", "missing: not provided")</f>
        <v>0</v>
      </c>
      <c r="K991" s="1">
        <f>IF(B991="", "", "g")</f>
        <v>0</v>
      </c>
    </row>
    <row r="992" spans="1:11">
      <c r="A992">
        <f>IF(COUNTBLANK(B992:K992)&lt;&gt;COLUMNS(B992:K992),991,"")</f>
        <v>0</v>
      </c>
      <c r="C992" s="2">
        <f>IF(B992="", "", "missing: not provided")</f>
        <v>0</v>
      </c>
      <c r="D992" s="1">
        <f>IF(B992="", "", "weeks")</f>
        <v>0</v>
      </c>
      <c r="E992" s="1">
        <f>IF(B992="", "", "urban biome")</f>
        <v>0</v>
      </c>
      <c r="F992" s="1">
        <f>IF(B992="", "", "animal-associated habitat")</f>
        <v>0</v>
      </c>
      <c r="G992" s="1">
        <f>IF(B992="", "", "mouse")</f>
        <v>0</v>
      </c>
      <c r="H992" s="1">
        <f>IF(B992="", "", "Mus musculus")</f>
        <v>0</v>
      </c>
      <c r="I992" s="1">
        <f>IF(B992="", "", "10090")</f>
        <v>0</v>
      </c>
      <c r="J992" s="2">
        <f>IF(B992="", "", "missing: not provided")</f>
        <v>0</v>
      </c>
      <c r="K992" s="1">
        <f>IF(B992="", "", "g")</f>
        <v>0</v>
      </c>
    </row>
    <row r="993" spans="1:11">
      <c r="A993">
        <f>IF(COUNTBLANK(B993:K993)&lt;&gt;COLUMNS(B993:K993),992,"")</f>
        <v>0</v>
      </c>
      <c r="C993" s="2">
        <f>IF(B993="", "", "missing: not provided")</f>
        <v>0</v>
      </c>
      <c r="D993" s="1">
        <f>IF(B993="", "", "weeks")</f>
        <v>0</v>
      </c>
      <c r="E993" s="1">
        <f>IF(B993="", "", "urban biome")</f>
        <v>0</v>
      </c>
      <c r="F993" s="1">
        <f>IF(B993="", "", "animal-associated habitat")</f>
        <v>0</v>
      </c>
      <c r="G993" s="1">
        <f>IF(B993="", "", "mouse")</f>
        <v>0</v>
      </c>
      <c r="H993" s="1">
        <f>IF(B993="", "", "Mus musculus")</f>
        <v>0</v>
      </c>
      <c r="I993" s="1">
        <f>IF(B993="", "", "10090")</f>
        <v>0</v>
      </c>
      <c r="J993" s="2">
        <f>IF(B993="", "", "missing: not provided")</f>
        <v>0</v>
      </c>
      <c r="K993" s="1">
        <f>IF(B993="", "", "g")</f>
        <v>0</v>
      </c>
    </row>
    <row r="994" spans="1:11">
      <c r="A994">
        <f>IF(COUNTBLANK(B994:K994)&lt;&gt;COLUMNS(B994:K994),993,"")</f>
        <v>0</v>
      </c>
      <c r="C994" s="2">
        <f>IF(B994="", "", "missing: not provided")</f>
        <v>0</v>
      </c>
      <c r="D994" s="1">
        <f>IF(B994="", "", "weeks")</f>
        <v>0</v>
      </c>
      <c r="E994" s="1">
        <f>IF(B994="", "", "urban biome")</f>
        <v>0</v>
      </c>
      <c r="F994" s="1">
        <f>IF(B994="", "", "animal-associated habitat")</f>
        <v>0</v>
      </c>
      <c r="G994" s="1">
        <f>IF(B994="", "", "mouse")</f>
        <v>0</v>
      </c>
      <c r="H994" s="1">
        <f>IF(B994="", "", "Mus musculus")</f>
        <v>0</v>
      </c>
      <c r="I994" s="1">
        <f>IF(B994="", "", "10090")</f>
        <v>0</v>
      </c>
      <c r="J994" s="2">
        <f>IF(B994="", "", "missing: not provided")</f>
        <v>0</v>
      </c>
      <c r="K994" s="1">
        <f>IF(B994="", "", "g")</f>
        <v>0</v>
      </c>
    </row>
    <row r="995" spans="1:11">
      <c r="A995">
        <f>IF(COUNTBLANK(B995:K995)&lt;&gt;COLUMNS(B995:K995),994,"")</f>
        <v>0</v>
      </c>
      <c r="C995" s="2">
        <f>IF(B995="", "", "missing: not provided")</f>
        <v>0</v>
      </c>
      <c r="D995" s="1">
        <f>IF(B995="", "", "weeks")</f>
        <v>0</v>
      </c>
      <c r="E995" s="1">
        <f>IF(B995="", "", "urban biome")</f>
        <v>0</v>
      </c>
      <c r="F995" s="1">
        <f>IF(B995="", "", "animal-associated habitat")</f>
        <v>0</v>
      </c>
      <c r="G995" s="1">
        <f>IF(B995="", "", "mouse")</f>
        <v>0</v>
      </c>
      <c r="H995" s="1">
        <f>IF(B995="", "", "Mus musculus")</f>
        <v>0</v>
      </c>
      <c r="I995" s="1">
        <f>IF(B995="", "", "10090")</f>
        <v>0</v>
      </c>
      <c r="J995" s="2">
        <f>IF(B995="", "", "missing: not provided")</f>
        <v>0</v>
      </c>
      <c r="K995" s="1">
        <f>IF(B995="", "", "g")</f>
        <v>0</v>
      </c>
    </row>
    <row r="996" spans="1:11">
      <c r="A996">
        <f>IF(COUNTBLANK(B996:K996)&lt;&gt;COLUMNS(B996:K996),995,"")</f>
        <v>0</v>
      </c>
      <c r="C996" s="2">
        <f>IF(B996="", "", "missing: not provided")</f>
        <v>0</v>
      </c>
      <c r="D996" s="1">
        <f>IF(B996="", "", "weeks")</f>
        <v>0</v>
      </c>
      <c r="E996" s="1">
        <f>IF(B996="", "", "urban biome")</f>
        <v>0</v>
      </c>
      <c r="F996" s="1">
        <f>IF(B996="", "", "animal-associated habitat")</f>
        <v>0</v>
      </c>
      <c r="G996" s="1">
        <f>IF(B996="", "", "mouse")</f>
        <v>0</v>
      </c>
      <c r="H996" s="1">
        <f>IF(B996="", "", "Mus musculus")</f>
        <v>0</v>
      </c>
      <c r="I996" s="1">
        <f>IF(B996="", "", "10090")</f>
        <v>0</v>
      </c>
      <c r="J996" s="2">
        <f>IF(B996="", "", "missing: not provided")</f>
        <v>0</v>
      </c>
      <c r="K996" s="1">
        <f>IF(B996="", "", "g")</f>
        <v>0</v>
      </c>
    </row>
    <row r="997" spans="1:11">
      <c r="A997">
        <f>IF(COUNTBLANK(B997:K997)&lt;&gt;COLUMNS(B997:K997),996,"")</f>
        <v>0</v>
      </c>
      <c r="C997" s="2">
        <f>IF(B997="", "", "missing: not provided")</f>
        <v>0</v>
      </c>
      <c r="D997" s="1">
        <f>IF(B997="", "", "weeks")</f>
        <v>0</v>
      </c>
      <c r="E997" s="1">
        <f>IF(B997="", "", "urban biome")</f>
        <v>0</v>
      </c>
      <c r="F997" s="1">
        <f>IF(B997="", "", "animal-associated habitat")</f>
        <v>0</v>
      </c>
      <c r="G997" s="1">
        <f>IF(B997="", "", "mouse")</f>
        <v>0</v>
      </c>
      <c r="H997" s="1">
        <f>IF(B997="", "", "Mus musculus")</f>
        <v>0</v>
      </c>
      <c r="I997" s="1">
        <f>IF(B997="", "", "10090")</f>
        <v>0</v>
      </c>
      <c r="J997" s="2">
        <f>IF(B997="", "", "missing: not provided")</f>
        <v>0</v>
      </c>
      <c r="K997" s="1">
        <f>IF(B997="", "", "g")</f>
        <v>0</v>
      </c>
    </row>
    <row r="998" spans="1:11">
      <c r="A998">
        <f>IF(COUNTBLANK(B998:K998)&lt;&gt;COLUMNS(B998:K998),997,"")</f>
        <v>0</v>
      </c>
      <c r="C998" s="2">
        <f>IF(B998="", "", "missing: not provided")</f>
        <v>0</v>
      </c>
      <c r="D998" s="1">
        <f>IF(B998="", "", "weeks")</f>
        <v>0</v>
      </c>
      <c r="E998" s="1">
        <f>IF(B998="", "", "urban biome")</f>
        <v>0</v>
      </c>
      <c r="F998" s="1">
        <f>IF(B998="", "", "animal-associated habitat")</f>
        <v>0</v>
      </c>
      <c r="G998" s="1">
        <f>IF(B998="", "", "mouse")</f>
        <v>0</v>
      </c>
      <c r="H998" s="1">
        <f>IF(B998="", "", "Mus musculus")</f>
        <v>0</v>
      </c>
      <c r="I998" s="1">
        <f>IF(B998="", "", "10090")</f>
        <v>0</v>
      </c>
      <c r="J998" s="2">
        <f>IF(B998="", "", "missing: not provided")</f>
        <v>0</v>
      </c>
      <c r="K998" s="1">
        <f>IF(B998="", "", "g")</f>
        <v>0</v>
      </c>
    </row>
    <row r="999" spans="1:11">
      <c r="A999">
        <f>IF(COUNTBLANK(B999:K999)&lt;&gt;COLUMNS(B999:K999),998,"")</f>
        <v>0</v>
      </c>
      <c r="C999" s="2">
        <f>IF(B999="", "", "missing: not provided")</f>
        <v>0</v>
      </c>
      <c r="D999" s="1">
        <f>IF(B999="", "", "weeks")</f>
        <v>0</v>
      </c>
      <c r="E999" s="1">
        <f>IF(B999="", "", "urban biome")</f>
        <v>0</v>
      </c>
      <c r="F999" s="1">
        <f>IF(B999="", "", "animal-associated habitat")</f>
        <v>0</v>
      </c>
      <c r="G999" s="1">
        <f>IF(B999="", "", "mouse")</f>
        <v>0</v>
      </c>
      <c r="H999" s="1">
        <f>IF(B999="", "", "Mus musculus")</f>
        <v>0</v>
      </c>
      <c r="I999" s="1">
        <f>IF(B999="", "", "10090")</f>
        <v>0</v>
      </c>
      <c r="J999" s="2">
        <f>IF(B999="", "", "missing: not provided")</f>
        <v>0</v>
      </c>
      <c r="K999" s="1">
        <f>IF(B999="", "", "g")</f>
        <v>0</v>
      </c>
    </row>
    <row r="1000" spans="1:11">
      <c r="A1000">
        <f>IF(COUNTBLANK(B1000:K1000)&lt;&gt;COLUMNS(B1000:K1000),999,"")</f>
        <v>0</v>
      </c>
      <c r="C1000" s="2">
        <f>IF(B1000="", "", "missing: not provided")</f>
        <v>0</v>
      </c>
      <c r="D1000" s="1">
        <f>IF(B1000="", "", "weeks")</f>
        <v>0</v>
      </c>
      <c r="E1000" s="1">
        <f>IF(B1000="", "", "urban biome")</f>
        <v>0</v>
      </c>
      <c r="F1000" s="1">
        <f>IF(B1000="", "", "animal-associated habitat")</f>
        <v>0</v>
      </c>
      <c r="G1000" s="1">
        <f>IF(B1000="", "", "mouse")</f>
        <v>0</v>
      </c>
      <c r="H1000" s="1">
        <f>IF(B1000="", "", "Mus musculus")</f>
        <v>0</v>
      </c>
      <c r="I1000" s="1">
        <f>IF(B1000="", "", "10090")</f>
        <v>0</v>
      </c>
      <c r="J1000" s="2">
        <f>IF(B1000="", "", "missing: not provided")</f>
        <v>0</v>
      </c>
      <c r="K1000" s="1">
        <f>IF(B1000="", "", "g")</f>
        <v>0</v>
      </c>
    </row>
    <row r="1001" spans="1:11">
      <c r="A1001">
        <f>IF(COUNTBLANK(B1001:K1001)&lt;&gt;COLUMNS(B1001:K1001),1000,"")</f>
        <v>0</v>
      </c>
      <c r="C1001" s="2">
        <f>IF(B1001="", "", "missing: not provided")</f>
        <v>0</v>
      </c>
      <c r="D1001" s="1">
        <f>IF(B1001="", "", "weeks")</f>
        <v>0</v>
      </c>
      <c r="E1001" s="1">
        <f>IF(B1001="", "", "urban biome")</f>
        <v>0</v>
      </c>
      <c r="F1001" s="1">
        <f>IF(B1001="", "", "animal-associated habitat")</f>
        <v>0</v>
      </c>
      <c r="G1001" s="1">
        <f>IF(B1001="", "", "mouse")</f>
        <v>0</v>
      </c>
      <c r="H1001" s="1">
        <f>IF(B1001="", "", "Mus musculus")</f>
        <v>0</v>
      </c>
      <c r="I1001" s="1">
        <f>IF(B1001="", "", "10090")</f>
        <v>0</v>
      </c>
      <c r="J1001" s="2">
        <f>IF(B1001="", "", "missing: not provided")</f>
        <v>0</v>
      </c>
      <c r="K1001" s="1">
        <f>IF(B1001="", "", "g")</f>
        <v>0</v>
      </c>
    </row>
    <row r="1002" spans="1:11">
      <c r="B1002" s="3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age" error="The age value entered is not valid. Host age in appropriate units. The value must be a string and must equal &quot;not applicable&quot; or must equal &quot;missing: not collected&quot; or must e[text truncated: please refer to field descriptions sheet for full requirements]." promptTitle="Enter age" prompt="Host age in appropriate units. The value must be a string and must equal &quot;not applicable&quot; or must equal &quot;missing: not collected&quot; or must equal &quot;missing: not provided&quot; or must[text truncated: please refer to field descriptions sheet for full requirements]." sqref="C2:C1001">
      <formula1>(OR(AND(IF(C2="",FALSE,TRUE),OR(exact(C2,"not applicable"),exact(C2,"missing: not collected"),exact(C2,"missing: not provided"),exact(C2,"missing: restricted access"))),AND(IF(C2="",FALSE,ISNUMBER(VALUE(C2))),C2&gt;0)))</formula1>
    </dataValidation>
    <dataValidation type="list" allowBlank="1" showInputMessage="1" showErrorMessage="1" errorTitle="Invalid age_units" error="The age_units value entered is not valid. The value must be a string and must equal &quot;weeks&quot;. The default value is weeks." promptTitle="Enter age_units" prompt="The value must be a string and must equal &quot;weeks&quot;. The default value is weeks." sqref="D2:D1001">
      <formula1>"weeks"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E2:E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F2:F1001">
      <formula1>"animal-associated habitat"</formula1>
    </dataValidation>
    <dataValidation type="list" allowBlank="1" showInputMessage="1" showErrorMessage="1" errorTitle="Invalid host_common_name" error="The host_common_name value entered is not valid. The value must be a string and must equal &quot;mouse&quot;. The default value is mouse." promptTitle="Enter host_common_name" prompt="The value must be a string and must equal &quot;mouse&quot;. The default value is mouse." sqref="G2:G1001">
      <formula1>"mouse"</formula1>
    </dataValidation>
    <dataValidation type="list" allowBlank="1" showInputMessage="1" showErrorMessage="1" errorTitle="Invalid host_scientific_name" error="The host_scientific_name value entered is not valid. The value must be a string and must equal &quot;Mus musculus&quot;. The default value is Mus musculus." promptTitle="Enter host_scientific_name" prompt="The value must be a string and must equal &quot;Mus musculus&quot;. The default value is Mus musculus." sqref="H2:H1001">
      <formula1>"Mus musculus"</formula1>
    </dataValidation>
    <dataValidation type="list" allowBlank="1" showInputMessage="1" showErrorMessage="1" errorTitle="Invalid host_taxid" error="The host_taxid value entered is not valid. The value must be a string and must equal &quot;10090&quot;. The default value is 10090." promptTitle="Enter host_taxid" prompt="The value must be a string and must equal &quot;10090&quot;. The default value is 10090." sqref="I2:I1001">
      <formula1>"10090"</formula1>
    </dataValidation>
    <dataValidation type="custom" allowBlank="1" showInputMessage="1" showErrorMessage="1" errorTitle="Invalid weight" error="The weight value entered is not valid. In grams preferred. . The value must be a string and must equal &quot;not applicable&quot; or must equal &quot;missing: not collected&quot; or must equal &quot;[text truncated: please refer to field descriptions sheet for full requirements]." promptTitle="Enter weight" prompt="In grams preferred. . The value must be a string and must equal &quot;not applicable&quot; or must equal &quot;missing: not collected&quot; or must equal &quot;missing: not provided&quot; or must equal &quot;m[text truncated: please refer to field descriptions sheet for full requirements]." sqref="J2:J1001">
      <formula1>(OR(AND(IF(J2="",FALSE,TRUE),OR(exact(J2,"not applicable"),exact(J2,"missing: not collected"),exact(J2,"missing: not provided"),exact(J2,"missing: restricted access"))),AND(IF(J2="",FALSE,ISNUMBER(VALUE(J2))),J2&gt;0)))</formula1>
    </dataValidation>
    <dataValidation type="list" allowBlank="1" showInputMessage="1" showErrorMessage="1" errorTitle="Invalid weight_units" error="The weight_units value entered is not valid. The value must be a string and must equal &quot;g&quot;. The default value is g." promptTitle="Enter weight_units" prompt="The value must be a string and must equal &quot;g&quot;. The default value is g." sqref="K2:K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5" max="21" width="0" hidden="1" customWidth="1"/>
    <col min="22" max="31" width="0" hidden="1" customWidth="1"/>
  </cols>
  <sheetData>
    <row r="1" spans="1:31">
      <c r="A1" s="3" t="s">
        <v>1</v>
      </c>
      <c r="B1" s="3">
        <f>IF(B2=" ", " ", INDEX($V$1:$AE$1, 1, MATCH(COLUMNS($V$1006:V1006),$V$1006:$AE$1006,0)))</f>
        <v>0</v>
      </c>
      <c r="C1" s="3">
        <f>IF(C2=" ", " ", INDEX($V$1:$AE$1, 1, MATCH(COLUMNS($V$1006:W1006),$V$1006:$AE$1006,0)))</f>
        <v>0</v>
      </c>
      <c r="D1" s="3">
        <f>IF(D2=" ", " ", INDEX($V$1:$AE$1, 1, MATCH(COLUMNS($V$1006:X1006),$V$1006:$AE$1006,0)))</f>
        <v>0</v>
      </c>
      <c r="E1" s="3">
        <f>IF(E2=" ", " ", INDEX($V$1:$AE$1, 1, MATCH(COLUMNS($V$1006:Y1006),$V$1006:$AE$1006,0)))</f>
        <v>0</v>
      </c>
      <c r="F1" s="3">
        <f>IF(F2=" ", " ", INDEX($V$1:$AE$1, 1, MATCH(COLUMNS($V$1006:Z1006),$V$1006:$AE$1006,0)))</f>
        <v>0</v>
      </c>
      <c r="G1" s="3">
        <f>IF(G2=" ", " ", INDEX($V$1:$AE$1, 1, MATCH(COLUMNS($V$1006:AA1006),$V$1006:$AE$1006,0)))</f>
        <v>0</v>
      </c>
      <c r="H1" s="3">
        <f>IF(H2=" ", " ", INDEX($V$1:$AE$1, 1, MATCH(COLUMNS($V$1006:AB1006),$V$1006:$AE$1006,0)))</f>
        <v>0</v>
      </c>
      <c r="I1" s="3">
        <f>IF(I2=" ", " ", INDEX($V$1:$AE$1, 1, MATCH(COLUMNS($V$1006:AC1006),$V$1006:$AE$1006,0)))</f>
        <v>0</v>
      </c>
      <c r="J1" s="3">
        <f>IF(J2=" ", " ", INDEX($V$1:$AE$1, 1, MATCH(COLUMNS($V$1006:AD1006),$V$1006:$AE$1006,0)))</f>
        <v>0</v>
      </c>
      <c r="K1" s="3">
        <f>IF(K2=" ", " ", INDEX($V$1:$AE$1, 1, MATCH(COLUMNS($V$1006:AE1006),$V$1006:$AE$1006,0)))</f>
        <v>0</v>
      </c>
      <c r="O1" s="3" t="s">
        <v>16</v>
      </c>
      <c r="P1" s="3" t="s">
        <v>15</v>
      </c>
      <c r="Q1" s="3" t="s">
        <v>14</v>
      </c>
      <c r="R1" s="3" t="s">
        <v>13</v>
      </c>
      <c r="S1" s="3" t="s">
        <v>12</v>
      </c>
      <c r="T1" s="3" t="s">
        <v>1</v>
      </c>
      <c r="V1" s="3" t="s">
        <v>1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</row>
    <row r="2" spans="1:31">
      <c r="A2" s="5">
        <f>IF(B2=" "," ",HYPERLINK(CONCATENATE("#metadata!",ADDRESS(INDEX($Q$2:$Q$1001,MATCH(ROWS($O$2:O2),$O$2:$O$1001,0),0),1)),INDEX($T$2:$T$1001,MATCH(ROWS($O$2:O2),$O$2:$O$1001,0),0)))</f>
        <v>0</v>
      </c>
      <c r="B2" s="4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4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4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4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4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4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4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4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4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4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OR(AND(IF(metadata!C2="",FALSE,TRUE),OR(exact(metadata!C2,"not applicable"),exact(metadata!C2,"missing: not collected"),exact(metadata!C2,"missing: not provided"),exact(metadata!C2,"missing: restricted access"))),AND(IF(metadata!C2="",FALSE,ISNUMBER(VALUE(metadata!C2))),metadata!C2&gt;0))</f>
        <v>0</v>
      </c>
      <c r="X2">
        <f>AND(IF(metadata!D2="",FALSE,TRUE),exact(metadata!D2,"weeks"))</f>
        <v>0</v>
      </c>
      <c r="Y2">
        <f>AND(IF(metadata!E2="",FALSE,TRUE),exact(metadata!E2,"urban biome"))</f>
        <v>0</v>
      </c>
      <c r="Z2">
        <f>AND(IF(metadata!F2="",FALSE,TRUE),exact(metadata!F2,"animal-associated habitat"))</f>
        <v>0</v>
      </c>
      <c r="AA2">
        <f>AND(IF(metadata!G2="",FALSE,TRUE),exact(metadata!G2,"mouse"))</f>
        <v>0</v>
      </c>
      <c r="AB2">
        <f>AND(IF(metadata!H2="",FALSE,TRUE),exact(metadata!H2,"Mus musculus"))</f>
        <v>0</v>
      </c>
      <c r="AC2">
        <f>AND(IF(metadata!I2="",FALSE,TRUE),exact(metadata!I2,"10090"))</f>
        <v>0</v>
      </c>
      <c r="AD2">
        <f>OR(AND(IF(metadata!J2="",FALSE,TRUE),OR(exact(metadata!J2,"not applicable"),exact(metadata!J2,"missing: not collected"),exact(metadata!J2,"missing: not provided"),exact(metadata!J2,"missing: restricted access"))),AND(IF(metadata!J2="",FALSE,ISNUMBER(VALUE(metadata!J2))),metadata!J2&gt;0))</f>
        <v>0</v>
      </c>
      <c r="AE2">
        <f>AND(IF(metadata!K2="",FALSE,TRUE),exact(metadata!K2,"g"))</f>
        <v>0</v>
      </c>
    </row>
    <row r="3" spans="1:31">
      <c r="A3" s="5">
        <f>IF(B3=" "," ",HYPERLINK(CONCATENATE("#metadata!",ADDRESS(INDEX($Q$2:$Q$1001,MATCH(ROWS($O$2:O3),$O$2:$O$1001,0),0),1)),INDEX($T$2:$T$1001,MATCH(ROWS($O$2:O3),$O$2:$O$1001,0),0)))</f>
        <v>0</v>
      </c>
      <c r="B3" s="4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4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4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4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4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4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4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4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4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4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OR(AND(IF(metadata!C3="",FALSE,TRUE),OR(exact(metadata!C3,"not applicable"),exact(metadata!C3,"missing: not collected"),exact(metadata!C3,"missing: not provided"),exact(metadata!C3,"missing: restricted access"))),AND(IF(metadata!C3="",FALSE,ISNUMBER(VALUE(metadata!C3))),metadata!C3&gt;0))</f>
        <v>0</v>
      </c>
      <c r="X3">
        <f>AND(IF(metadata!D3="",FALSE,TRUE),exact(metadata!D3,"weeks"))</f>
        <v>0</v>
      </c>
      <c r="Y3">
        <f>AND(IF(metadata!E3="",FALSE,TRUE),exact(metadata!E3,"urban biome"))</f>
        <v>0</v>
      </c>
      <c r="Z3">
        <f>AND(IF(metadata!F3="",FALSE,TRUE),exact(metadata!F3,"animal-associated habitat"))</f>
        <v>0</v>
      </c>
      <c r="AA3">
        <f>AND(IF(metadata!G3="",FALSE,TRUE),exact(metadata!G3,"mouse"))</f>
        <v>0</v>
      </c>
      <c r="AB3">
        <f>AND(IF(metadata!H3="",FALSE,TRUE),exact(metadata!H3,"Mus musculus"))</f>
        <v>0</v>
      </c>
      <c r="AC3">
        <f>AND(IF(metadata!I3="",FALSE,TRUE),exact(metadata!I3,"10090"))</f>
        <v>0</v>
      </c>
      <c r="AD3">
        <f>OR(AND(IF(metadata!J3="",FALSE,TRUE),OR(exact(metadata!J3,"not applicable"),exact(metadata!J3,"missing: not collected"),exact(metadata!J3,"missing: not provided"),exact(metadata!J3,"missing: restricted access"))),AND(IF(metadata!J3="",FALSE,ISNUMBER(VALUE(metadata!J3))),metadata!J3&gt;0))</f>
        <v>0</v>
      </c>
      <c r="AE3">
        <f>AND(IF(metadata!K3="",FALSE,TRUE),exact(metadata!K3,"g"))</f>
        <v>0</v>
      </c>
    </row>
    <row r="4" spans="1:31">
      <c r="A4" s="5">
        <f>IF(B4=" "," ",HYPERLINK(CONCATENATE("#metadata!",ADDRESS(INDEX($Q$2:$Q$1001,MATCH(ROWS($O$2:O4),$O$2:$O$1001,0),0),1)),INDEX($T$2:$T$1001,MATCH(ROWS($O$2:O4),$O$2:$O$1001,0),0)))</f>
        <v>0</v>
      </c>
      <c r="B4" s="4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4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4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4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4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4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4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4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4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4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OR(AND(IF(metadata!C4="",FALSE,TRUE),OR(exact(metadata!C4,"not applicable"),exact(metadata!C4,"missing: not collected"),exact(metadata!C4,"missing: not provided"),exact(metadata!C4,"missing: restricted access"))),AND(IF(metadata!C4="",FALSE,ISNUMBER(VALUE(metadata!C4))),metadata!C4&gt;0))</f>
        <v>0</v>
      </c>
      <c r="X4">
        <f>AND(IF(metadata!D4="",FALSE,TRUE),exact(metadata!D4,"weeks"))</f>
        <v>0</v>
      </c>
      <c r="Y4">
        <f>AND(IF(metadata!E4="",FALSE,TRUE),exact(metadata!E4,"urban biome"))</f>
        <v>0</v>
      </c>
      <c r="Z4">
        <f>AND(IF(metadata!F4="",FALSE,TRUE),exact(metadata!F4,"animal-associated habitat"))</f>
        <v>0</v>
      </c>
      <c r="AA4">
        <f>AND(IF(metadata!G4="",FALSE,TRUE),exact(metadata!G4,"mouse"))</f>
        <v>0</v>
      </c>
      <c r="AB4">
        <f>AND(IF(metadata!H4="",FALSE,TRUE),exact(metadata!H4,"Mus musculus"))</f>
        <v>0</v>
      </c>
      <c r="AC4">
        <f>AND(IF(metadata!I4="",FALSE,TRUE),exact(metadata!I4,"10090"))</f>
        <v>0</v>
      </c>
      <c r="AD4">
        <f>OR(AND(IF(metadata!J4="",FALSE,TRUE),OR(exact(metadata!J4,"not applicable"),exact(metadata!J4,"missing: not collected"),exact(metadata!J4,"missing: not provided"),exact(metadata!J4,"missing: restricted access"))),AND(IF(metadata!J4="",FALSE,ISNUMBER(VALUE(metadata!J4))),metadata!J4&gt;0))</f>
        <v>0</v>
      </c>
      <c r="AE4">
        <f>AND(IF(metadata!K4="",FALSE,TRUE),exact(metadata!K4,"g"))</f>
        <v>0</v>
      </c>
    </row>
    <row r="5" spans="1:31">
      <c r="A5" s="5">
        <f>IF(B5=" "," ",HYPERLINK(CONCATENATE("#metadata!",ADDRESS(INDEX($Q$2:$Q$1001,MATCH(ROWS($O$2:O5),$O$2:$O$1001,0),0),1)),INDEX($T$2:$T$1001,MATCH(ROWS($O$2:O5),$O$2:$O$1001,0),0)))</f>
        <v>0</v>
      </c>
      <c r="B5" s="4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4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4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4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4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4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4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4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4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4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OR(AND(IF(metadata!C5="",FALSE,TRUE),OR(exact(metadata!C5,"not applicable"),exact(metadata!C5,"missing: not collected"),exact(metadata!C5,"missing: not provided"),exact(metadata!C5,"missing: restricted access"))),AND(IF(metadata!C5="",FALSE,ISNUMBER(VALUE(metadata!C5))),metadata!C5&gt;0))</f>
        <v>0</v>
      </c>
      <c r="X5">
        <f>AND(IF(metadata!D5="",FALSE,TRUE),exact(metadata!D5,"weeks"))</f>
        <v>0</v>
      </c>
      <c r="Y5">
        <f>AND(IF(metadata!E5="",FALSE,TRUE),exact(metadata!E5,"urban biome"))</f>
        <v>0</v>
      </c>
      <c r="Z5">
        <f>AND(IF(metadata!F5="",FALSE,TRUE),exact(metadata!F5,"animal-associated habitat"))</f>
        <v>0</v>
      </c>
      <c r="AA5">
        <f>AND(IF(metadata!G5="",FALSE,TRUE),exact(metadata!G5,"mouse"))</f>
        <v>0</v>
      </c>
      <c r="AB5">
        <f>AND(IF(metadata!H5="",FALSE,TRUE),exact(metadata!H5,"Mus musculus"))</f>
        <v>0</v>
      </c>
      <c r="AC5">
        <f>AND(IF(metadata!I5="",FALSE,TRUE),exact(metadata!I5,"10090"))</f>
        <v>0</v>
      </c>
      <c r="AD5">
        <f>OR(AND(IF(metadata!J5="",FALSE,TRUE),OR(exact(metadata!J5,"not applicable"),exact(metadata!J5,"missing: not collected"),exact(metadata!J5,"missing: not provided"),exact(metadata!J5,"missing: restricted access"))),AND(IF(metadata!J5="",FALSE,ISNUMBER(VALUE(metadata!J5))),metadata!J5&gt;0))</f>
        <v>0</v>
      </c>
      <c r="AE5">
        <f>AND(IF(metadata!K5="",FALSE,TRUE),exact(metadata!K5,"g"))</f>
        <v>0</v>
      </c>
    </row>
    <row r="6" spans="1:31">
      <c r="A6" s="5">
        <f>IF(B6=" "," ",HYPERLINK(CONCATENATE("#metadata!",ADDRESS(INDEX($Q$2:$Q$1001,MATCH(ROWS($O$2:O6),$O$2:$O$1001,0),0),1)),INDEX($T$2:$T$1001,MATCH(ROWS($O$2:O6),$O$2:$O$1001,0),0)))</f>
        <v>0</v>
      </c>
      <c r="B6" s="4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4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4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4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4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4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4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4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4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4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OR(AND(IF(metadata!C6="",FALSE,TRUE),OR(exact(metadata!C6,"not applicable"),exact(metadata!C6,"missing: not collected"),exact(metadata!C6,"missing: not provided"),exact(metadata!C6,"missing: restricted access"))),AND(IF(metadata!C6="",FALSE,ISNUMBER(VALUE(metadata!C6))),metadata!C6&gt;0))</f>
        <v>0</v>
      </c>
      <c r="X6">
        <f>AND(IF(metadata!D6="",FALSE,TRUE),exact(metadata!D6,"weeks"))</f>
        <v>0</v>
      </c>
      <c r="Y6">
        <f>AND(IF(metadata!E6="",FALSE,TRUE),exact(metadata!E6,"urban biome"))</f>
        <v>0</v>
      </c>
      <c r="Z6">
        <f>AND(IF(metadata!F6="",FALSE,TRUE),exact(metadata!F6,"animal-associated habitat"))</f>
        <v>0</v>
      </c>
      <c r="AA6">
        <f>AND(IF(metadata!G6="",FALSE,TRUE),exact(metadata!G6,"mouse"))</f>
        <v>0</v>
      </c>
      <c r="AB6">
        <f>AND(IF(metadata!H6="",FALSE,TRUE),exact(metadata!H6,"Mus musculus"))</f>
        <v>0</v>
      </c>
      <c r="AC6">
        <f>AND(IF(metadata!I6="",FALSE,TRUE),exact(metadata!I6,"10090"))</f>
        <v>0</v>
      </c>
      <c r="AD6">
        <f>OR(AND(IF(metadata!J6="",FALSE,TRUE),OR(exact(metadata!J6,"not applicable"),exact(metadata!J6,"missing: not collected"),exact(metadata!J6,"missing: not provided"),exact(metadata!J6,"missing: restricted access"))),AND(IF(metadata!J6="",FALSE,ISNUMBER(VALUE(metadata!J6))),metadata!J6&gt;0))</f>
        <v>0</v>
      </c>
      <c r="AE6">
        <f>AND(IF(metadata!K6="",FALSE,TRUE),exact(metadata!K6,"g"))</f>
        <v>0</v>
      </c>
    </row>
    <row r="7" spans="1:31">
      <c r="A7" s="5">
        <f>IF(B7=" "," ",HYPERLINK(CONCATENATE("#metadata!",ADDRESS(INDEX($Q$2:$Q$1001,MATCH(ROWS($O$2:O7),$O$2:$O$1001,0),0),1)),INDEX($T$2:$T$1001,MATCH(ROWS($O$2:O7),$O$2:$O$1001,0),0)))</f>
        <v>0</v>
      </c>
      <c r="B7" s="4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4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4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4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4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4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4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4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4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4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OR(AND(IF(metadata!C7="",FALSE,TRUE),OR(exact(metadata!C7,"not applicable"),exact(metadata!C7,"missing: not collected"),exact(metadata!C7,"missing: not provided"),exact(metadata!C7,"missing: restricted access"))),AND(IF(metadata!C7="",FALSE,ISNUMBER(VALUE(metadata!C7))),metadata!C7&gt;0))</f>
        <v>0</v>
      </c>
      <c r="X7">
        <f>AND(IF(metadata!D7="",FALSE,TRUE),exact(metadata!D7,"weeks"))</f>
        <v>0</v>
      </c>
      <c r="Y7">
        <f>AND(IF(metadata!E7="",FALSE,TRUE),exact(metadata!E7,"urban biome"))</f>
        <v>0</v>
      </c>
      <c r="Z7">
        <f>AND(IF(metadata!F7="",FALSE,TRUE),exact(metadata!F7,"animal-associated habitat"))</f>
        <v>0</v>
      </c>
      <c r="AA7">
        <f>AND(IF(metadata!G7="",FALSE,TRUE),exact(metadata!G7,"mouse"))</f>
        <v>0</v>
      </c>
      <c r="AB7">
        <f>AND(IF(metadata!H7="",FALSE,TRUE),exact(metadata!H7,"Mus musculus"))</f>
        <v>0</v>
      </c>
      <c r="AC7">
        <f>AND(IF(metadata!I7="",FALSE,TRUE),exact(metadata!I7,"10090"))</f>
        <v>0</v>
      </c>
      <c r="AD7">
        <f>OR(AND(IF(metadata!J7="",FALSE,TRUE),OR(exact(metadata!J7,"not applicable"),exact(metadata!J7,"missing: not collected"),exact(metadata!J7,"missing: not provided"),exact(metadata!J7,"missing: restricted access"))),AND(IF(metadata!J7="",FALSE,ISNUMBER(VALUE(metadata!J7))),metadata!J7&gt;0))</f>
        <v>0</v>
      </c>
      <c r="AE7">
        <f>AND(IF(metadata!K7="",FALSE,TRUE),exact(metadata!K7,"g"))</f>
        <v>0</v>
      </c>
    </row>
    <row r="8" spans="1:31">
      <c r="A8" s="5">
        <f>IF(B8=" "," ",HYPERLINK(CONCATENATE("#metadata!",ADDRESS(INDEX($Q$2:$Q$1001,MATCH(ROWS($O$2:O8),$O$2:$O$1001,0),0),1)),INDEX($T$2:$T$1001,MATCH(ROWS($O$2:O8),$O$2:$O$1001,0),0)))</f>
        <v>0</v>
      </c>
      <c r="B8" s="4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4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4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4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4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4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4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4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4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4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OR(AND(IF(metadata!C8="",FALSE,TRUE),OR(exact(metadata!C8,"not applicable"),exact(metadata!C8,"missing: not collected"),exact(metadata!C8,"missing: not provided"),exact(metadata!C8,"missing: restricted access"))),AND(IF(metadata!C8="",FALSE,ISNUMBER(VALUE(metadata!C8))),metadata!C8&gt;0))</f>
        <v>0</v>
      </c>
      <c r="X8">
        <f>AND(IF(metadata!D8="",FALSE,TRUE),exact(metadata!D8,"weeks"))</f>
        <v>0</v>
      </c>
      <c r="Y8">
        <f>AND(IF(metadata!E8="",FALSE,TRUE),exact(metadata!E8,"urban biome"))</f>
        <v>0</v>
      </c>
      <c r="Z8">
        <f>AND(IF(metadata!F8="",FALSE,TRUE),exact(metadata!F8,"animal-associated habitat"))</f>
        <v>0</v>
      </c>
      <c r="AA8">
        <f>AND(IF(metadata!G8="",FALSE,TRUE),exact(metadata!G8,"mouse"))</f>
        <v>0</v>
      </c>
      <c r="AB8">
        <f>AND(IF(metadata!H8="",FALSE,TRUE),exact(metadata!H8,"Mus musculus"))</f>
        <v>0</v>
      </c>
      <c r="AC8">
        <f>AND(IF(metadata!I8="",FALSE,TRUE),exact(metadata!I8,"10090"))</f>
        <v>0</v>
      </c>
      <c r="AD8">
        <f>OR(AND(IF(metadata!J8="",FALSE,TRUE),OR(exact(metadata!J8,"not applicable"),exact(metadata!J8,"missing: not collected"),exact(metadata!J8,"missing: not provided"),exact(metadata!J8,"missing: restricted access"))),AND(IF(metadata!J8="",FALSE,ISNUMBER(VALUE(metadata!J8))),metadata!J8&gt;0))</f>
        <v>0</v>
      </c>
      <c r="AE8">
        <f>AND(IF(metadata!K8="",FALSE,TRUE),exact(metadata!K8,"g"))</f>
        <v>0</v>
      </c>
    </row>
    <row r="9" spans="1:31">
      <c r="A9" s="5">
        <f>IF(B9=" "," ",HYPERLINK(CONCATENATE("#metadata!",ADDRESS(INDEX($Q$2:$Q$1001,MATCH(ROWS($O$2:O9),$O$2:$O$1001,0),0),1)),INDEX($T$2:$T$1001,MATCH(ROWS($O$2:O9),$O$2:$O$1001,0),0)))</f>
        <v>0</v>
      </c>
      <c r="B9" s="4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4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4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4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4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4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4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4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4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4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OR(AND(IF(metadata!C9="",FALSE,TRUE),OR(exact(metadata!C9,"not applicable"),exact(metadata!C9,"missing: not collected"),exact(metadata!C9,"missing: not provided"),exact(metadata!C9,"missing: restricted access"))),AND(IF(metadata!C9="",FALSE,ISNUMBER(VALUE(metadata!C9))),metadata!C9&gt;0))</f>
        <v>0</v>
      </c>
      <c r="X9">
        <f>AND(IF(metadata!D9="",FALSE,TRUE),exact(metadata!D9,"weeks"))</f>
        <v>0</v>
      </c>
      <c r="Y9">
        <f>AND(IF(metadata!E9="",FALSE,TRUE),exact(metadata!E9,"urban biome"))</f>
        <v>0</v>
      </c>
      <c r="Z9">
        <f>AND(IF(metadata!F9="",FALSE,TRUE),exact(metadata!F9,"animal-associated habitat"))</f>
        <v>0</v>
      </c>
      <c r="AA9">
        <f>AND(IF(metadata!G9="",FALSE,TRUE),exact(metadata!G9,"mouse"))</f>
        <v>0</v>
      </c>
      <c r="AB9">
        <f>AND(IF(metadata!H9="",FALSE,TRUE),exact(metadata!H9,"Mus musculus"))</f>
        <v>0</v>
      </c>
      <c r="AC9">
        <f>AND(IF(metadata!I9="",FALSE,TRUE),exact(metadata!I9,"10090"))</f>
        <v>0</v>
      </c>
      <c r="AD9">
        <f>OR(AND(IF(metadata!J9="",FALSE,TRUE),OR(exact(metadata!J9,"not applicable"),exact(metadata!J9,"missing: not collected"),exact(metadata!J9,"missing: not provided"),exact(metadata!J9,"missing: restricted access"))),AND(IF(metadata!J9="",FALSE,ISNUMBER(VALUE(metadata!J9))),metadata!J9&gt;0))</f>
        <v>0</v>
      </c>
      <c r="AE9">
        <f>AND(IF(metadata!K9="",FALSE,TRUE),exact(metadata!K9,"g"))</f>
        <v>0</v>
      </c>
    </row>
    <row r="10" spans="1:31">
      <c r="A10" s="5">
        <f>IF(B10=" "," ",HYPERLINK(CONCATENATE("#metadata!",ADDRESS(INDEX($Q$2:$Q$1001,MATCH(ROWS($O$2:O10),$O$2:$O$1001,0),0),1)),INDEX($T$2:$T$1001,MATCH(ROWS($O$2:O10),$O$2:$O$1001,0),0)))</f>
        <v>0</v>
      </c>
      <c r="B10" s="4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4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4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4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4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4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4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4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4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4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OR(AND(IF(metadata!C10="",FALSE,TRUE),OR(exact(metadata!C10,"not applicable"),exact(metadata!C10,"missing: not collected"),exact(metadata!C10,"missing: not provided"),exact(metadata!C10,"missing: restricted access"))),AND(IF(metadata!C10="",FALSE,ISNUMBER(VALUE(metadata!C10))),metadata!C10&gt;0))</f>
        <v>0</v>
      </c>
      <c r="X10">
        <f>AND(IF(metadata!D10="",FALSE,TRUE),exact(metadata!D10,"weeks"))</f>
        <v>0</v>
      </c>
      <c r="Y10">
        <f>AND(IF(metadata!E10="",FALSE,TRUE),exact(metadata!E10,"urban biome"))</f>
        <v>0</v>
      </c>
      <c r="Z10">
        <f>AND(IF(metadata!F10="",FALSE,TRUE),exact(metadata!F10,"animal-associated habitat"))</f>
        <v>0</v>
      </c>
      <c r="AA10">
        <f>AND(IF(metadata!G10="",FALSE,TRUE),exact(metadata!G10,"mouse"))</f>
        <v>0</v>
      </c>
      <c r="AB10">
        <f>AND(IF(metadata!H10="",FALSE,TRUE),exact(metadata!H10,"Mus musculus"))</f>
        <v>0</v>
      </c>
      <c r="AC10">
        <f>AND(IF(metadata!I10="",FALSE,TRUE),exact(metadata!I10,"10090"))</f>
        <v>0</v>
      </c>
      <c r="AD10">
        <f>OR(AND(IF(metadata!J10="",FALSE,TRUE),OR(exact(metadata!J10,"not applicable"),exact(metadata!J10,"missing: not collected"),exact(metadata!J10,"missing: not provided"),exact(metadata!J10,"missing: restricted access"))),AND(IF(metadata!J10="",FALSE,ISNUMBER(VALUE(metadata!J10))),metadata!J10&gt;0))</f>
        <v>0</v>
      </c>
      <c r="AE10">
        <f>AND(IF(metadata!K10="",FALSE,TRUE),exact(metadata!K10,"g"))</f>
        <v>0</v>
      </c>
    </row>
    <row r="11" spans="1:31">
      <c r="A11" s="5">
        <f>IF(B11=" "," ",HYPERLINK(CONCATENATE("#metadata!",ADDRESS(INDEX($Q$2:$Q$1001,MATCH(ROWS($O$2:O11),$O$2:$O$1001,0),0),1)),INDEX($T$2:$T$1001,MATCH(ROWS($O$2:O11),$O$2:$O$1001,0),0)))</f>
        <v>0</v>
      </c>
      <c r="B11" s="4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4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4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4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4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4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4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4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4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4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OR(AND(IF(metadata!C11="",FALSE,TRUE),OR(exact(metadata!C11,"not applicable"),exact(metadata!C11,"missing: not collected"),exact(metadata!C11,"missing: not provided"),exact(metadata!C11,"missing: restricted access"))),AND(IF(metadata!C11="",FALSE,ISNUMBER(VALUE(metadata!C11))),metadata!C11&gt;0))</f>
        <v>0</v>
      </c>
      <c r="X11">
        <f>AND(IF(metadata!D11="",FALSE,TRUE),exact(metadata!D11,"weeks"))</f>
        <v>0</v>
      </c>
      <c r="Y11">
        <f>AND(IF(metadata!E11="",FALSE,TRUE),exact(metadata!E11,"urban biome"))</f>
        <v>0</v>
      </c>
      <c r="Z11">
        <f>AND(IF(metadata!F11="",FALSE,TRUE),exact(metadata!F11,"animal-associated habitat"))</f>
        <v>0</v>
      </c>
      <c r="AA11">
        <f>AND(IF(metadata!G11="",FALSE,TRUE),exact(metadata!G11,"mouse"))</f>
        <v>0</v>
      </c>
      <c r="AB11">
        <f>AND(IF(metadata!H11="",FALSE,TRUE),exact(metadata!H11,"Mus musculus"))</f>
        <v>0</v>
      </c>
      <c r="AC11">
        <f>AND(IF(metadata!I11="",FALSE,TRUE),exact(metadata!I11,"10090"))</f>
        <v>0</v>
      </c>
      <c r="AD11">
        <f>OR(AND(IF(metadata!J11="",FALSE,TRUE),OR(exact(metadata!J11,"not applicable"),exact(metadata!J11,"missing: not collected"),exact(metadata!J11,"missing: not provided"),exact(metadata!J11,"missing: restricted access"))),AND(IF(metadata!J11="",FALSE,ISNUMBER(VALUE(metadata!J11))),metadata!J11&gt;0))</f>
        <v>0</v>
      </c>
      <c r="AE11">
        <f>AND(IF(metadata!K11="",FALSE,TRUE),exact(metadata!K11,"g"))</f>
        <v>0</v>
      </c>
    </row>
    <row r="12" spans="1:31">
      <c r="A12" s="5">
        <f>IF(B12=" "," ",HYPERLINK(CONCATENATE("#metadata!",ADDRESS(INDEX($Q$2:$Q$1001,MATCH(ROWS($O$2:O12),$O$2:$O$1001,0),0),1)),INDEX($T$2:$T$1001,MATCH(ROWS($O$2:O12),$O$2:$O$1001,0),0)))</f>
        <v>0</v>
      </c>
      <c r="B12" s="4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4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4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4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4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4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4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4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4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4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OR(AND(IF(metadata!C12="",FALSE,TRUE),OR(exact(metadata!C12,"not applicable"),exact(metadata!C12,"missing: not collected"),exact(metadata!C12,"missing: not provided"),exact(metadata!C12,"missing: restricted access"))),AND(IF(metadata!C12="",FALSE,ISNUMBER(VALUE(metadata!C12))),metadata!C12&gt;0))</f>
        <v>0</v>
      </c>
      <c r="X12">
        <f>AND(IF(metadata!D12="",FALSE,TRUE),exact(metadata!D12,"weeks"))</f>
        <v>0</v>
      </c>
      <c r="Y12">
        <f>AND(IF(metadata!E12="",FALSE,TRUE),exact(metadata!E12,"urban biome"))</f>
        <v>0</v>
      </c>
      <c r="Z12">
        <f>AND(IF(metadata!F12="",FALSE,TRUE),exact(metadata!F12,"animal-associated habitat"))</f>
        <v>0</v>
      </c>
      <c r="AA12">
        <f>AND(IF(metadata!G12="",FALSE,TRUE),exact(metadata!G12,"mouse"))</f>
        <v>0</v>
      </c>
      <c r="AB12">
        <f>AND(IF(metadata!H12="",FALSE,TRUE),exact(metadata!H12,"Mus musculus"))</f>
        <v>0</v>
      </c>
      <c r="AC12">
        <f>AND(IF(metadata!I12="",FALSE,TRUE),exact(metadata!I12,"10090"))</f>
        <v>0</v>
      </c>
      <c r="AD12">
        <f>OR(AND(IF(metadata!J12="",FALSE,TRUE),OR(exact(metadata!J12,"not applicable"),exact(metadata!J12,"missing: not collected"),exact(metadata!J12,"missing: not provided"),exact(metadata!J12,"missing: restricted access"))),AND(IF(metadata!J12="",FALSE,ISNUMBER(VALUE(metadata!J12))),metadata!J12&gt;0))</f>
        <v>0</v>
      </c>
      <c r="AE12">
        <f>AND(IF(metadata!K12="",FALSE,TRUE),exact(metadata!K12,"g"))</f>
        <v>0</v>
      </c>
    </row>
    <row r="13" spans="1:31">
      <c r="A13" s="5">
        <f>IF(B13=" "," ",HYPERLINK(CONCATENATE("#metadata!",ADDRESS(INDEX($Q$2:$Q$1001,MATCH(ROWS($O$2:O13),$O$2:$O$1001,0),0),1)),INDEX($T$2:$T$1001,MATCH(ROWS($O$2:O13),$O$2:$O$1001,0),0)))</f>
        <v>0</v>
      </c>
      <c r="B13" s="4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4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4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4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4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4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4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4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4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4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OR(AND(IF(metadata!C13="",FALSE,TRUE),OR(exact(metadata!C13,"not applicable"),exact(metadata!C13,"missing: not collected"),exact(metadata!C13,"missing: not provided"),exact(metadata!C13,"missing: restricted access"))),AND(IF(metadata!C13="",FALSE,ISNUMBER(VALUE(metadata!C13))),metadata!C13&gt;0))</f>
        <v>0</v>
      </c>
      <c r="X13">
        <f>AND(IF(metadata!D13="",FALSE,TRUE),exact(metadata!D13,"weeks"))</f>
        <v>0</v>
      </c>
      <c r="Y13">
        <f>AND(IF(metadata!E13="",FALSE,TRUE),exact(metadata!E13,"urban biome"))</f>
        <v>0</v>
      </c>
      <c r="Z13">
        <f>AND(IF(metadata!F13="",FALSE,TRUE),exact(metadata!F13,"animal-associated habitat"))</f>
        <v>0</v>
      </c>
      <c r="AA13">
        <f>AND(IF(metadata!G13="",FALSE,TRUE),exact(metadata!G13,"mouse"))</f>
        <v>0</v>
      </c>
      <c r="AB13">
        <f>AND(IF(metadata!H13="",FALSE,TRUE),exact(metadata!H13,"Mus musculus"))</f>
        <v>0</v>
      </c>
      <c r="AC13">
        <f>AND(IF(metadata!I13="",FALSE,TRUE),exact(metadata!I13,"10090"))</f>
        <v>0</v>
      </c>
      <c r="AD13">
        <f>OR(AND(IF(metadata!J13="",FALSE,TRUE),OR(exact(metadata!J13,"not applicable"),exact(metadata!J13,"missing: not collected"),exact(metadata!J13,"missing: not provided"),exact(metadata!J13,"missing: restricted access"))),AND(IF(metadata!J13="",FALSE,ISNUMBER(VALUE(metadata!J13))),metadata!J13&gt;0))</f>
        <v>0</v>
      </c>
      <c r="AE13">
        <f>AND(IF(metadata!K13="",FALSE,TRUE),exact(metadata!K13,"g"))</f>
        <v>0</v>
      </c>
    </row>
    <row r="14" spans="1:31">
      <c r="A14" s="5">
        <f>IF(B14=" "," ",HYPERLINK(CONCATENATE("#metadata!",ADDRESS(INDEX($Q$2:$Q$1001,MATCH(ROWS($O$2:O14),$O$2:$O$1001,0),0),1)),INDEX($T$2:$T$1001,MATCH(ROWS($O$2:O14),$O$2:$O$1001,0),0)))</f>
        <v>0</v>
      </c>
      <c r="B14" s="4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4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4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4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4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4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4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4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4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4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OR(AND(IF(metadata!C14="",FALSE,TRUE),OR(exact(metadata!C14,"not applicable"),exact(metadata!C14,"missing: not collected"),exact(metadata!C14,"missing: not provided"),exact(metadata!C14,"missing: restricted access"))),AND(IF(metadata!C14="",FALSE,ISNUMBER(VALUE(metadata!C14))),metadata!C14&gt;0))</f>
        <v>0</v>
      </c>
      <c r="X14">
        <f>AND(IF(metadata!D14="",FALSE,TRUE),exact(metadata!D14,"weeks"))</f>
        <v>0</v>
      </c>
      <c r="Y14">
        <f>AND(IF(metadata!E14="",FALSE,TRUE),exact(metadata!E14,"urban biome"))</f>
        <v>0</v>
      </c>
      <c r="Z14">
        <f>AND(IF(metadata!F14="",FALSE,TRUE),exact(metadata!F14,"animal-associated habitat"))</f>
        <v>0</v>
      </c>
      <c r="AA14">
        <f>AND(IF(metadata!G14="",FALSE,TRUE),exact(metadata!G14,"mouse"))</f>
        <v>0</v>
      </c>
      <c r="AB14">
        <f>AND(IF(metadata!H14="",FALSE,TRUE),exact(metadata!H14,"Mus musculus"))</f>
        <v>0</v>
      </c>
      <c r="AC14">
        <f>AND(IF(metadata!I14="",FALSE,TRUE),exact(metadata!I14,"10090"))</f>
        <v>0</v>
      </c>
      <c r="AD14">
        <f>OR(AND(IF(metadata!J14="",FALSE,TRUE),OR(exact(metadata!J14,"not applicable"),exact(metadata!J14,"missing: not collected"),exact(metadata!J14,"missing: not provided"),exact(metadata!J14,"missing: restricted access"))),AND(IF(metadata!J14="",FALSE,ISNUMBER(VALUE(metadata!J14))),metadata!J14&gt;0))</f>
        <v>0</v>
      </c>
      <c r="AE14">
        <f>AND(IF(metadata!K14="",FALSE,TRUE),exact(metadata!K14,"g"))</f>
        <v>0</v>
      </c>
    </row>
    <row r="15" spans="1:31">
      <c r="A15" s="5">
        <f>IF(B15=" "," ",HYPERLINK(CONCATENATE("#metadata!",ADDRESS(INDEX($Q$2:$Q$1001,MATCH(ROWS($O$2:O15),$O$2:$O$1001,0),0),1)),INDEX($T$2:$T$1001,MATCH(ROWS($O$2:O15),$O$2:$O$1001,0),0)))</f>
        <v>0</v>
      </c>
      <c r="B15" s="4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4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4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4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4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4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4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4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4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4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OR(AND(IF(metadata!C15="",FALSE,TRUE),OR(exact(metadata!C15,"not applicable"),exact(metadata!C15,"missing: not collected"),exact(metadata!C15,"missing: not provided"),exact(metadata!C15,"missing: restricted access"))),AND(IF(metadata!C15="",FALSE,ISNUMBER(VALUE(metadata!C15))),metadata!C15&gt;0))</f>
        <v>0</v>
      </c>
      <c r="X15">
        <f>AND(IF(metadata!D15="",FALSE,TRUE),exact(metadata!D15,"weeks"))</f>
        <v>0</v>
      </c>
      <c r="Y15">
        <f>AND(IF(metadata!E15="",FALSE,TRUE),exact(metadata!E15,"urban biome"))</f>
        <v>0</v>
      </c>
      <c r="Z15">
        <f>AND(IF(metadata!F15="",FALSE,TRUE),exact(metadata!F15,"animal-associated habitat"))</f>
        <v>0</v>
      </c>
      <c r="AA15">
        <f>AND(IF(metadata!G15="",FALSE,TRUE),exact(metadata!G15,"mouse"))</f>
        <v>0</v>
      </c>
      <c r="AB15">
        <f>AND(IF(metadata!H15="",FALSE,TRUE),exact(metadata!H15,"Mus musculus"))</f>
        <v>0</v>
      </c>
      <c r="AC15">
        <f>AND(IF(metadata!I15="",FALSE,TRUE),exact(metadata!I15,"10090"))</f>
        <v>0</v>
      </c>
      <c r="AD15">
        <f>OR(AND(IF(metadata!J15="",FALSE,TRUE),OR(exact(metadata!J15,"not applicable"),exact(metadata!J15,"missing: not collected"),exact(metadata!J15,"missing: not provided"),exact(metadata!J15,"missing: restricted access"))),AND(IF(metadata!J15="",FALSE,ISNUMBER(VALUE(metadata!J15))),metadata!J15&gt;0))</f>
        <v>0</v>
      </c>
      <c r="AE15">
        <f>AND(IF(metadata!K15="",FALSE,TRUE),exact(metadata!K15,"g"))</f>
        <v>0</v>
      </c>
    </row>
    <row r="16" spans="1:31">
      <c r="A16" s="5">
        <f>IF(B16=" "," ",HYPERLINK(CONCATENATE("#metadata!",ADDRESS(INDEX($Q$2:$Q$1001,MATCH(ROWS($O$2:O16),$O$2:$O$1001,0),0),1)),INDEX($T$2:$T$1001,MATCH(ROWS($O$2:O16),$O$2:$O$1001,0),0)))</f>
        <v>0</v>
      </c>
      <c r="B16" s="4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4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4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4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4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4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4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4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4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4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OR(AND(IF(metadata!C16="",FALSE,TRUE),OR(exact(metadata!C16,"not applicable"),exact(metadata!C16,"missing: not collected"),exact(metadata!C16,"missing: not provided"),exact(metadata!C16,"missing: restricted access"))),AND(IF(metadata!C16="",FALSE,ISNUMBER(VALUE(metadata!C16))),metadata!C16&gt;0))</f>
        <v>0</v>
      </c>
      <c r="X16">
        <f>AND(IF(metadata!D16="",FALSE,TRUE),exact(metadata!D16,"weeks"))</f>
        <v>0</v>
      </c>
      <c r="Y16">
        <f>AND(IF(metadata!E16="",FALSE,TRUE),exact(metadata!E16,"urban biome"))</f>
        <v>0</v>
      </c>
      <c r="Z16">
        <f>AND(IF(metadata!F16="",FALSE,TRUE),exact(metadata!F16,"animal-associated habitat"))</f>
        <v>0</v>
      </c>
      <c r="AA16">
        <f>AND(IF(metadata!G16="",FALSE,TRUE),exact(metadata!G16,"mouse"))</f>
        <v>0</v>
      </c>
      <c r="AB16">
        <f>AND(IF(metadata!H16="",FALSE,TRUE),exact(metadata!H16,"Mus musculus"))</f>
        <v>0</v>
      </c>
      <c r="AC16">
        <f>AND(IF(metadata!I16="",FALSE,TRUE),exact(metadata!I16,"10090"))</f>
        <v>0</v>
      </c>
      <c r="AD16">
        <f>OR(AND(IF(metadata!J16="",FALSE,TRUE),OR(exact(metadata!J16,"not applicable"),exact(metadata!J16,"missing: not collected"),exact(metadata!J16,"missing: not provided"),exact(metadata!J16,"missing: restricted access"))),AND(IF(metadata!J16="",FALSE,ISNUMBER(VALUE(metadata!J16))),metadata!J16&gt;0))</f>
        <v>0</v>
      </c>
      <c r="AE16">
        <f>AND(IF(metadata!K16="",FALSE,TRUE),exact(metadata!K16,"g"))</f>
        <v>0</v>
      </c>
    </row>
    <row r="17" spans="1:31">
      <c r="A17" s="5">
        <f>IF(B17=" "," ",HYPERLINK(CONCATENATE("#metadata!",ADDRESS(INDEX($Q$2:$Q$1001,MATCH(ROWS($O$2:O17),$O$2:$O$1001,0),0),1)),INDEX($T$2:$T$1001,MATCH(ROWS($O$2:O17),$O$2:$O$1001,0),0)))</f>
        <v>0</v>
      </c>
      <c r="B17" s="4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4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4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4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4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4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4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4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4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4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OR(AND(IF(metadata!C17="",FALSE,TRUE),OR(exact(metadata!C17,"not applicable"),exact(metadata!C17,"missing: not collected"),exact(metadata!C17,"missing: not provided"),exact(metadata!C17,"missing: restricted access"))),AND(IF(metadata!C17="",FALSE,ISNUMBER(VALUE(metadata!C17))),metadata!C17&gt;0))</f>
        <v>0</v>
      </c>
      <c r="X17">
        <f>AND(IF(metadata!D17="",FALSE,TRUE),exact(metadata!D17,"weeks"))</f>
        <v>0</v>
      </c>
      <c r="Y17">
        <f>AND(IF(metadata!E17="",FALSE,TRUE),exact(metadata!E17,"urban biome"))</f>
        <v>0</v>
      </c>
      <c r="Z17">
        <f>AND(IF(metadata!F17="",FALSE,TRUE),exact(metadata!F17,"animal-associated habitat"))</f>
        <v>0</v>
      </c>
      <c r="AA17">
        <f>AND(IF(metadata!G17="",FALSE,TRUE),exact(metadata!G17,"mouse"))</f>
        <v>0</v>
      </c>
      <c r="AB17">
        <f>AND(IF(metadata!H17="",FALSE,TRUE),exact(metadata!H17,"Mus musculus"))</f>
        <v>0</v>
      </c>
      <c r="AC17">
        <f>AND(IF(metadata!I17="",FALSE,TRUE),exact(metadata!I17,"10090"))</f>
        <v>0</v>
      </c>
      <c r="AD17">
        <f>OR(AND(IF(metadata!J17="",FALSE,TRUE),OR(exact(metadata!J17,"not applicable"),exact(metadata!J17,"missing: not collected"),exact(metadata!J17,"missing: not provided"),exact(metadata!J17,"missing: restricted access"))),AND(IF(metadata!J17="",FALSE,ISNUMBER(VALUE(metadata!J17))),metadata!J17&gt;0))</f>
        <v>0</v>
      </c>
      <c r="AE17">
        <f>AND(IF(metadata!K17="",FALSE,TRUE),exact(metadata!K17,"g"))</f>
        <v>0</v>
      </c>
    </row>
    <row r="18" spans="1:31">
      <c r="A18" s="5">
        <f>IF(B18=" "," ",HYPERLINK(CONCATENATE("#metadata!",ADDRESS(INDEX($Q$2:$Q$1001,MATCH(ROWS($O$2:O18),$O$2:$O$1001,0),0),1)),INDEX($T$2:$T$1001,MATCH(ROWS($O$2:O18),$O$2:$O$1001,0),0)))</f>
        <v>0</v>
      </c>
      <c r="B18" s="4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4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4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4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4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4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4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4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4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4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OR(AND(IF(metadata!C18="",FALSE,TRUE),OR(exact(metadata!C18,"not applicable"),exact(metadata!C18,"missing: not collected"),exact(metadata!C18,"missing: not provided"),exact(metadata!C18,"missing: restricted access"))),AND(IF(metadata!C18="",FALSE,ISNUMBER(VALUE(metadata!C18))),metadata!C18&gt;0))</f>
        <v>0</v>
      </c>
      <c r="X18">
        <f>AND(IF(metadata!D18="",FALSE,TRUE),exact(metadata!D18,"weeks"))</f>
        <v>0</v>
      </c>
      <c r="Y18">
        <f>AND(IF(metadata!E18="",FALSE,TRUE),exact(metadata!E18,"urban biome"))</f>
        <v>0</v>
      </c>
      <c r="Z18">
        <f>AND(IF(metadata!F18="",FALSE,TRUE),exact(metadata!F18,"animal-associated habitat"))</f>
        <v>0</v>
      </c>
      <c r="AA18">
        <f>AND(IF(metadata!G18="",FALSE,TRUE),exact(metadata!G18,"mouse"))</f>
        <v>0</v>
      </c>
      <c r="AB18">
        <f>AND(IF(metadata!H18="",FALSE,TRUE),exact(metadata!H18,"Mus musculus"))</f>
        <v>0</v>
      </c>
      <c r="AC18">
        <f>AND(IF(metadata!I18="",FALSE,TRUE),exact(metadata!I18,"10090"))</f>
        <v>0</v>
      </c>
      <c r="AD18">
        <f>OR(AND(IF(metadata!J18="",FALSE,TRUE),OR(exact(metadata!J18,"not applicable"),exact(metadata!J18,"missing: not collected"),exact(metadata!J18,"missing: not provided"),exact(metadata!J18,"missing: restricted access"))),AND(IF(metadata!J18="",FALSE,ISNUMBER(VALUE(metadata!J18))),metadata!J18&gt;0))</f>
        <v>0</v>
      </c>
      <c r="AE18">
        <f>AND(IF(metadata!K18="",FALSE,TRUE),exact(metadata!K18,"g"))</f>
        <v>0</v>
      </c>
    </row>
    <row r="19" spans="1:31">
      <c r="A19" s="5">
        <f>IF(B19=" "," ",HYPERLINK(CONCATENATE("#metadata!",ADDRESS(INDEX($Q$2:$Q$1001,MATCH(ROWS($O$2:O19),$O$2:$O$1001,0),0),1)),INDEX($T$2:$T$1001,MATCH(ROWS($O$2:O19),$O$2:$O$1001,0),0)))</f>
        <v>0</v>
      </c>
      <c r="B19" s="4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4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4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4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4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4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4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4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4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4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OR(AND(IF(metadata!C19="",FALSE,TRUE),OR(exact(metadata!C19,"not applicable"),exact(metadata!C19,"missing: not collected"),exact(metadata!C19,"missing: not provided"),exact(metadata!C19,"missing: restricted access"))),AND(IF(metadata!C19="",FALSE,ISNUMBER(VALUE(metadata!C19))),metadata!C19&gt;0))</f>
        <v>0</v>
      </c>
      <c r="X19">
        <f>AND(IF(metadata!D19="",FALSE,TRUE),exact(metadata!D19,"weeks"))</f>
        <v>0</v>
      </c>
      <c r="Y19">
        <f>AND(IF(metadata!E19="",FALSE,TRUE),exact(metadata!E19,"urban biome"))</f>
        <v>0</v>
      </c>
      <c r="Z19">
        <f>AND(IF(metadata!F19="",FALSE,TRUE),exact(metadata!F19,"animal-associated habitat"))</f>
        <v>0</v>
      </c>
      <c r="AA19">
        <f>AND(IF(metadata!G19="",FALSE,TRUE),exact(metadata!G19,"mouse"))</f>
        <v>0</v>
      </c>
      <c r="AB19">
        <f>AND(IF(metadata!H19="",FALSE,TRUE),exact(metadata!H19,"Mus musculus"))</f>
        <v>0</v>
      </c>
      <c r="AC19">
        <f>AND(IF(metadata!I19="",FALSE,TRUE),exact(metadata!I19,"10090"))</f>
        <v>0</v>
      </c>
      <c r="AD19">
        <f>OR(AND(IF(metadata!J19="",FALSE,TRUE),OR(exact(metadata!J19,"not applicable"),exact(metadata!J19,"missing: not collected"),exact(metadata!J19,"missing: not provided"),exact(metadata!J19,"missing: restricted access"))),AND(IF(metadata!J19="",FALSE,ISNUMBER(VALUE(metadata!J19))),metadata!J19&gt;0))</f>
        <v>0</v>
      </c>
      <c r="AE19">
        <f>AND(IF(metadata!K19="",FALSE,TRUE),exact(metadata!K19,"g"))</f>
        <v>0</v>
      </c>
    </row>
    <row r="20" spans="1:31">
      <c r="A20" s="5">
        <f>IF(B20=" "," ",HYPERLINK(CONCATENATE("#metadata!",ADDRESS(INDEX($Q$2:$Q$1001,MATCH(ROWS($O$2:O20),$O$2:$O$1001,0),0),1)),INDEX($T$2:$T$1001,MATCH(ROWS($O$2:O20),$O$2:$O$1001,0),0)))</f>
        <v>0</v>
      </c>
      <c r="B20" s="4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4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4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4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4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4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4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4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4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4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OR(AND(IF(metadata!C20="",FALSE,TRUE),OR(exact(metadata!C20,"not applicable"),exact(metadata!C20,"missing: not collected"),exact(metadata!C20,"missing: not provided"),exact(metadata!C20,"missing: restricted access"))),AND(IF(metadata!C20="",FALSE,ISNUMBER(VALUE(metadata!C20))),metadata!C20&gt;0))</f>
        <v>0</v>
      </c>
      <c r="X20">
        <f>AND(IF(metadata!D20="",FALSE,TRUE),exact(metadata!D20,"weeks"))</f>
        <v>0</v>
      </c>
      <c r="Y20">
        <f>AND(IF(metadata!E20="",FALSE,TRUE),exact(metadata!E20,"urban biome"))</f>
        <v>0</v>
      </c>
      <c r="Z20">
        <f>AND(IF(metadata!F20="",FALSE,TRUE),exact(metadata!F20,"animal-associated habitat"))</f>
        <v>0</v>
      </c>
      <c r="AA20">
        <f>AND(IF(metadata!G20="",FALSE,TRUE),exact(metadata!G20,"mouse"))</f>
        <v>0</v>
      </c>
      <c r="AB20">
        <f>AND(IF(metadata!H20="",FALSE,TRUE),exact(metadata!H20,"Mus musculus"))</f>
        <v>0</v>
      </c>
      <c r="AC20">
        <f>AND(IF(metadata!I20="",FALSE,TRUE),exact(metadata!I20,"10090"))</f>
        <v>0</v>
      </c>
      <c r="AD20">
        <f>OR(AND(IF(metadata!J20="",FALSE,TRUE),OR(exact(metadata!J20,"not applicable"),exact(metadata!J20,"missing: not collected"),exact(metadata!J20,"missing: not provided"),exact(metadata!J20,"missing: restricted access"))),AND(IF(metadata!J20="",FALSE,ISNUMBER(VALUE(metadata!J20))),metadata!J20&gt;0))</f>
        <v>0</v>
      </c>
      <c r="AE20">
        <f>AND(IF(metadata!K20="",FALSE,TRUE),exact(metadata!K20,"g"))</f>
        <v>0</v>
      </c>
    </row>
    <row r="21" spans="1:31">
      <c r="A21" s="5">
        <f>IF(B21=" "," ",HYPERLINK(CONCATENATE("#metadata!",ADDRESS(INDEX($Q$2:$Q$1001,MATCH(ROWS($O$2:O21),$O$2:$O$1001,0),0),1)),INDEX($T$2:$T$1001,MATCH(ROWS($O$2:O21),$O$2:$O$1001,0),0)))</f>
        <v>0</v>
      </c>
      <c r="B21" s="4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4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4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4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4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4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4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4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4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4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OR(AND(IF(metadata!C21="",FALSE,TRUE),OR(exact(metadata!C21,"not applicable"),exact(metadata!C21,"missing: not collected"),exact(metadata!C21,"missing: not provided"),exact(metadata!C21,"missing: restricted access"))),AND(IF(metadata!C21="",FALSE,ISNUMBER(VALUE(metadata!C21))),metadata!C21&gt;0))</f>
        <v>0</v>
      </c>
      <c r="X21">
        <f>AND(IF(metadata!D21="",FALSE,TRUE),exact(metadata!D21,"weeks"))</f>
        <v>0</v>
      </c>
      <c r="Y21">
        <f>AND(IF(metadata!E21="",FALSE,TRUE),exact(metadata!E21,"urban biome"))</f>
        <v>0</v>
      </c>
      <c r="Z21">
        <f>AND(IF(metadata!F21="",FALSE,TRUE),exact(metadata!F21,"animal-associated habitat"))</f>
        <v>0</v>
      </c>
      <c r="AA21">
        <f>AND(IF(metadata!G21="",FALSE,TRUE),exact(metadata!G21,"mouse"))</f>
        <v>0</v>
      </c>
      <c r="AB21">
        <f>AND(IF(metadata!H21="",FALSE,TRUE),exact(metadata!H21,"Mus musculus"))</f>
        <v>0</v>
      </c>
      <c r="AC21">
        <f>AND(IF(metadata!I21="",FALSE,TRUE),exact(metadata!I21,"10090"))</f>
        <v>0</v>
      </c>
      <c r="AD21">
        <f>OR(AND(IF(metadata!J21="",FALSE,TRUE),OR(exact(metadata!J21,"not applicable"),exact(metadata!J21,"missing: not collected"),exact(metadata!J21,"missing: not provided"),exact(metadata!J21,"missing: restricted access"))),AND(IF(metadata!J21="",FALSE,ISNUMBER(VALUE(metadata!J21))),metadata!J21&gt;0))</f>
        <v>0</v>
      </c>
      <c r="AE21">
        <f>AND(IF(metadata!K21="",FALSE,TRUE),exact(metadata!K21,"g"))</f>
        <v>0</v>
      </c>
    </row>
    <row r="22" spans="1:31">
      <c r="A22" s="5">
        <f>IF(B22=" "," ",HYPERLINK(CONCATENATE("#metadata!",ADDRESS(INDEX($Q$2:$Q$1001,MATCH(ROWS($O$2:O22),$O$2:$O$1001,0),0),1)),INDEX($T$2:$T$1001,MATCH(ROWS($O$2:O22),$O$2:$O$1001,0),0)))</f>
        <v>0</v>
      </c>
      <c r="B22" s="4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4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4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4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4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4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4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4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4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4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OR(AND(IF(metadata!C22="",FALSE,TRUE),OR(exact(metadata!C22,"not applicable"),exact(metadata!C22,"missing: not collected"),exact(metadata!C22,"missing: not provided"),exact(metadata!C22,"missing: restricted access"))),AND(IF(metadata!C22="",FALSE,ISNUMBER(VALUE(metadata!C22))),metadata!C22&gt;0))</f>
        <v>0</v>
      </c>
      <c r="X22">
        <f>AND(IF(metadata!D22="",FALSE,TRUE),exact(metadata!D22,"weeks"))</f>
        <v>0</v>
      </c>
      <c r="Y22">
        <f>AND(IF(metadata!E22="",FALSE,TRUE),exact(metadata!E22,"urban biome"))</f>
        <v>0</v>
      </c>
      <c r="Z22">
        <f>AND(IF(metadata!F22="",FALSE,TRUE),exact(metadata!F22,"animal-associated habitat"))</f>
        <v>0</v>
      </c>
      <c r="AA22">
        <f>AND(IF(metadata!G22="",FALSE,TRUE),exact(metadata!G22,"mouse"))</f>
        <v>0</v>
      </c>
      <c r="AB22">
        <f>AND(IF(metadata!H22="",FALSE,TRUE),exact(metadata!H22,"Mus musculus"))</f>
        <v>0</v>
      </c>
      <c r="AC22">
        <f>AND(IF(metadata!I22="",FALSE,TRUE),exact(metadata!I22,"10090"))</f>
        <v>0</v>
      </c>
      <c r="AD22">
        <f>OR(AND(IF(metadata!J22="",FALSE,TRUE),OR(exact(metadata!J22,"not applicable"),exact(metadata!J22,"missing: not collected"),exact(metadata!J22,"missing: not provided"),exact(metadata!J22,"missing: restricted access"))),AND(IF(metadata!J22="",FALSE,ISNUMBER(VALUE(metadata!J22))),metadata!J22&gt;0))</f>
        <v>0</v>
      </c>
      <c r="AE22">
        <f>AND(IF(metadata!K22="",FALSE,TRUE),exact(metadata!K22,"g"))</f>
        <v>0</v>
      </c>
    </row>
    <row r="23" spans="1:31">
      <c r="A23" s="5">
        <f>IF(B23=" "," ",HYPERLINK(CONCATENATE("#metadata!",ADDRESS(INDEX($Q$2:$Q$1001,MATCH(ROWS($O$2:O23),$O$2:$O$1001,0),0),1)),INDEX($T$2:$T$1001,MATCH(ROWS($O$2:O23),$O$2:$O$1001,0),0)))</f>
        <v>0</v>
      </c>
      <c r="B23" s="4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4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4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4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4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4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4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4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4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4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OR(AND(IF(metadata!C23="",FALSE,TRUE),OR(exact(metadata!C23,"not applicable"),exact(metadata!C23,"missing: not collected"),exact(metadata!C23,"missing: not provided"),exact(metadata!C23,"missing: restricted access"))),AND(IF(metadata!C23="",FALSE,ISNUMBER(VALUE(metadata!C23))),metadata!C23&gt;0))</f>
        <v>0</v>
      </c>
      <c r="X23">
        <f>AND(IF(metadata!D23="",FALSE,TRUE),exact(metadata!D23,"weeks"))</f>
        <v>0</v>
      </c>
      <c r="Y23">
        <f>AND(IF(metadata!E23="",FALSE,TRUE),exact(metadata!E23,"urban biome"))</f>
        <v>0</v>
      </c>
      <c r="Z23">
        <f>AND(IF(metadata!F23="",FALSE,TRUE),exact(metadata!F23,"animal-associated habitat"))</f>
        <v>0</v>
      </c>
      <c r="AA23">
        <f>AND(IF(metadata!G23="",FALSE,TRUE),exact(metadata!G23,"mouse"))</f>
        <v>0</v>
      </c>
      <c r="AB23">
        <f>AND(IF(metadata!H23="",FALSE,TRUE),exact(metadata!H23,"Mus musculus"))</f>
        <v>0</v>
      </c>
      <c r="AC23">
        <f>AND(IF(metadata!I23="",FALSE,TRUE),exact(metadata!I23,"10090"))</f>
        <v>0</v>
      </c>
      <c r="AD23">
        <f>OR(AND(IF(metadata!J23="",FALSE,TRUE),OR(exact(metadata!J23,"not applicable"),exact(metadata!J23,"missing: not collected"),exact(metadata!J23,"missing: not provided"),exact(metadata!J23,"missing: restricted access"))),AND(IF(metadata!J23="",FALSE,ISNUMBER(VALUE(metadata!J23))),metadata!J23&gt;0))</f>
        <v>0</v>
      </c>
      <c r="AE23">
        <f>AND(IF(metadata!K23="",FALSE,TRUE),exact(metadata!K23,"g"))</f>
        <v>0</v>
      </c>
    </row>
    <row r="24" spans="1:31">
      <c r="A24" s="5">
        <f>IF(B24=" "," ",HYPERLINK(CONCATENATE("#metadata!",ADDRESS(INDEX($Q$2:$Q$1001,MATCH(ROWS($O$2:O24),$O$2:$O$1001,0),0),1)),INDEX($T$2:$T$1001,MATCH(ROWS($O$2:O24),$O$2:$O$1001,0),0)))</f>
        <v>0</v>
      </c>
      <c r="B24" s="4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4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4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4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4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4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4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4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4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4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OR(AND(IF(metadata!C24="",FALSE,TRUE),OR(exact(metadata!C24,"not applicable"),exact(metadata!C24,"missing: not collected"),exact(metadata!C24,"missing: not provided"),exact(metadata!C24,"missing: restricted access"))),AND(IF(metadata!C24="",FALSE,ISNUMBER(VALUE(metadata!C24))),metadata!C24&gt;0))</f>
        <v>0</v>
      </c>
      <c r="X24">
        <f>AND(IF(metadata!D24="",FALSE,TRUE),exact(metadata!D24,"weeks"))</f>
        <v>0</v>
      </c>
      <c r="Y24">
        <f>AND(IF(metadata!E24="",FALSE,TRUE),exact(metadata!E24,"urban biome"))</f>
        <v>0</v>
      </c>
      <c r="Z24">
        <f>AND(IF(metadata!F24="",FALSE,TRUE),exact(metadata!F24,"animal-associated habitat"))</f>
        <v>0</v>
      </c>
      <c r="AA24">
        <f>AND(IF(metadata!G24="",FALSE,TRUE),exact(metadata!G24,"mouse"))</f>
        <v>0</v>
      </c>
      <c r="AB24">
        <f>AND(IF(metadata!H24="",FALSE,TRUE),exact(metadata!H24,"Mus musculus"))</f>
        <v>0</v>
      </c>
      <c r="AC24">
        <f>AND(IF(metadata!I24="",FALSE,TRUE),exact(metadata!I24,"10090"))</f>
        <v>0</v>
      </c>
      <c r="AD24">
        <f>OR(AND(IF(metadata!J24="",FALSE,TRUE),OR(exact(metadata!J24,"not applicable"),exact(metadata!J24,"missing: not collected"),exact(metadata!J24,"missing: not provided"),exact(metadata!J24,"missing: restricted access"))),AND(IF(metadata!J24="",FALSE,ISNUMBER(VALUE(metadata!J24))),metadata!J24&gt;0))</f>
        <v>0</v>
      </c>
      <c r="AE24">
        <f>AND(IF(metadata!K24="",FALSE,TRUE),exact(metadata!K24,"g"))</f>
        <v>0</v>
      </c>
    </row>
    <row r="25" spans="1:31">
      <c r="A25" s="5">
        <f>IF(B25=" "," ",HYPERLINK(CONCATENATE("#metadata!",ADDRESS(INDEX($Q$2:$Q$1001,MATCH(ROWS($O$2:O25),$O$2:$O$1001,0),0),1)),INDEX($T$2:$T$1001,MATCH(ROWS($O$2:O25),$O$2:$O$1001,0),0)))</f>
        <v>0</v>
      </c>
      <c r="B25" s="4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4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4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4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4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4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4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4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4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4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OR(AND(IF(metadata!C25="",FALSE,TRUE),OR(exact(metadata!C25,"not applicable"),exact(metadata!C25,"missing: not collected"),exact(metadata!C25,"missing: not provided"),exact(metadata!C25,"missing: restricted access"))),AND(IF(metadata!C25="",FALSE,ISNUMBER(VALUE(metadata!C25))),metadata!C25&gt;0))</f>
        <v>0</v>
      </c>
      <c r="X25">
        <f>AND(IF(metadata!D25="",FALSE,TRUE),exact(metadata!D25,"weeks"))</f>
        <v>0</v>
      </c>
      <c r="Y25">
        <f>AND(IF(metadata!E25="",FALSE,TRUE),exact(metadata!E25,"urban biome"))</f>
        <v>0</v>
      </c>
      <c r="Z25">
        <f>AND(IF(metadata!F25="",FALSE,TRUE),exact(metadata!F25,"animal-associated habitat"))</f>
        <v>0</v>
      </c>
      <c r="AA25">
        <f>AND(IF(metadata!G25="",FALSE,TRUE),exact(metadata!G25,"mouse"))</f>
        <v>0</v>
      </c>
      <c r="AB25">
        <f>AND(IF(metadata!H25="",FALSE,TRUE),exact(metadata!H25,"Mus musculus"))</f>
        <v>0</v>
      </c>
      <c r="AC25">
        <f>AND(IF(metadata!I25="",FALSE,TRUE),exact(metadata!I25,"10090"))</f>
        <v>0</v>
      </c>
      <c r="AD25">
        <f>OR(AND(IF(metadata!J25="",FALSE,TRUE),OR(exact(metadata!J25,"not applicable"),exact(metadata!J25,"missing: not collected"),exact(metadata!J25,"missing: not provided"),exact(metadata!J25,"missing: restricted access"))),AND(IF(metadata!J25="",FALSE,ISNUMBER(VALUE(metadata!J25))),metadata!J25&gt;0))</f>
        <v>0</v>
      </c>
      <c r="AE25">
        <f>AND(IF(metadata!K25="",FALSE,TRUE),exact(metadata!K25,"g"))</f>
        <v>0</v>
      </c>
    </row>
    <row r="26" spans="1:31">
      <c r="A26" s="5">
        <f>IF(B26=" "," ",HYPERLINK(CONCATENATE("#metadata!",ADDRESS(INDEX($Q$2:$Q$1001,MATCH(ROWS($O$2:O26),$O$2:$O$1001,0),0),1)),INDEX($T$2:$T$1001,MATCH(ROWS($O$2:O26),$O$2:$O$1001,0),0)))</f>
        <v>0</v>
      </c>
      <c r="B26" s="4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4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4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4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4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4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4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4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4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4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OR(AND(IF(metadata!C26="",FALSE,TRUE),OR(exact(metadata!C26,"not applicable"),exact(metadata!C26,"missing: not collected"),exact(metadata!C26,"missing: not provided"),exact(metadata!C26,"missing: restricted access"))),AND(IF(metadata!C26="",FALSE,ISNUMBER(VALUE(metadata!C26))),metadata!C26&gt;0))</f>
        <v>0</v>
      </c>
      <c r="X26">
        <f>AND(IF(metadata!D26="",FALSE,TRUE),exact(metadata!D26,"weeks"))</f>
        <v>0</v>
      </c>
      <c r="Y26">
        <f>AND(IF(metadata!E26="",FALSE,TRUE),exact(metadata!E26,"urban biome"))</f>
        <v>0</v>
      </c>
      <c r="Z26">
        <f>AND(IF(metadata!F26="",FALSE,TRUE),exact(metadata!F26,"animal-associated habitat"))</f>
        <v>0</v>
      </c>
      <c r="AA26">
        <f>AND(IF(metadata!G26="",FALSE,TRUE),exact(metadata!G26,"mouse"))</f>
        <v>0</v>
      </c>
      <c r="AB26">
        <f>AND(IF(metadata!H26="",FALSE,TRUE),exact(metadata!H26,"Mus musculus"))</f>
        <v>0</v>
      </c>
      <c r="AC26">
        <f>AND(IF(metadata!I26="",FALSE,TRUE),exact(metadata!I26,"10090"))</f>
        <v>0</v>
      </c>
      <c r="AD26">
        <f>OR(AND(IF(metadata!J26="",FALSE,TRUE),OR(exact(metadata!J26,"not applicable"),exact(metadata!J26,"missing: not collected"),exact(metadata!J26,"missing: not provided"),exact(metadata!J26,"missing: restricted access"))),AND(IF(metadata!J26="",FALSE,ISNUMBER(VALUE(metadata!J26))),metadata!J26&gt;0))</f>
        <v>0</v>
      </c>
      <c r="AE26">
        <f>AND(IF(metadata!K26="",FALSE,TRUE),exact(metadata!K26,"g"))</f>
        <v>0</v>
      </c>
    </row>
    <row r="27" spans="1:31">
      <c r="A27" s="5">
        <f>IF(B27=" "," ",HYPERLINK(CONCATENATE("#metadata!",ADDRESS(INDEX($Q$2:$Q$1001,MATCH(ROWS($O$2:O27),$O$2:$O$1001,0),0),1)),INDEX($T$2:$T$1001,MATCH(ROWS($O$2:O27),$O$2:$O$1001,0),0)))</f>
        <v>0</v>
      </c>
      <c r="B27" s="4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4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4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4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4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4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4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4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4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4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OR(AND(IF(metadata!C27="",FALSE,TRUE),OR(exact(metadata!C27,"not applicable"),exact(metadata!C27,"missing: not collected"),exact(metadata!C27,"missing: not provided"),exact(metadata!C27,"missing: restricted access"))),AND(IF(metadata!C27="",FALSE,ISNUMBER(VALUE(metadata!C27))),metadata!C27&gt;0))</f>
        <v>0</v>
      </c>
      <c r="X27">
        <f>AND(IF(metadata!D27="",FALSE,TRUE),exact(metadata!D27,"weeks"))</f>
        <v>0</v>
      </c>
      <c r="Y27">
        <f>AND(IF(metadata!E27="",FALSE,TRUE),exact(metadata!E27,"urban biome"))</f>
        <v>0</v>
      </c>
      <c r="Z27">
        <f>AND(IF(metadata!F27="",FALSE,TRUE),exact(metadata!F27,"animal-associated habitat"))</f>
        <v>0</v>
      </c>
      <c r="AA27">
        <f>AND(IF(metadata!G27="",FALSE,TRUE),exact(metadata!G27,"mouse"))</f>
        <v>0</v>
      </c>
      <c r="AB27">
        <f>AND(IF(metadata!H27="",FALSE,TRUE),exact(metadata!H27,"Mus musculus"))</f>
        <v>0</v>
      </c>
      <c r="AC27">
        <f>AND(IF(metadata!I27="",FALSE,TRUE),exact(metadata!I27,"10090"))</f>
        <v>0</v>
      </c>
      <c r="AD27">
        <f>OR(AND(IF(metadata!J27="",FALSE,TRUE),OR(exact(metadata!J27,"not applicable"),exact(metadata!J27,"missing: not collected"),exact(metadata!J27,"missing: not provided"),exact(metadata!J27,"missing: restricted access"))),AND(IF(metadata!J27="",FALSE,ISNUMBER(VALUE(metadata!J27))),metadata!J27&gt;0))</f>
        <v>0</v>
      </c>
      <c r="AE27">
        <f>AND(IF(metadata!K27="",FALSE,TRUE),exact(metadata!K27,"g"))</f>
        <v>0</v>
      </c>
    </row>
    <row r="28" spans="1:31">
      <c r="A28" s="5">
        <f>IF(B28=" "," ",HYPERLINK(CONCATENATE("#metadata!",ADDRESS(INDEX($Q$2:$Q$1001,MATCH(ROWS($O$2:O28),$O$2:$O$1001,0),0),1)),INDEX($T$2:$T$1001,MATCH(ROWS($O$2:O28),$O$2:$O$1001,0),0)))</f>
        <v>0</v>
      </c>
      <c r="B28" s="4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4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4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4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4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4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4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4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4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4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OR(AND(IF(metadata!C28="",FALSE,TRUE),OR(exact(metadata!C28,"not applicable"),exact(metadata!C28,"missing: not collected"),exact(metadata!C28,"missing: not provided"),exact(metadata!C28,"missing: restricted access"))),AND(IF(metadata!C28="",FALSE,ISNUMBER(VALUE(metadata!C28))),metadata!C28&gt;0))</f>
        <v>0</v>
      </c>
      <c r="X28">
        <f>AND(IF(metadata!D28="",FALSE,TRUE),exact(metadata!D28,"weeks"))</f>
        <v>0</v>
      </c>
      <c r="Y28">
        <f>AND(IF(metadata!E28="",FALSE,TRUE),exact(metadata!E28,"urban biome"))</f>
        <v>0</v>
      </c>
      <c r="Z28">
        <f>AND(IF(metadata!F28="",FALSE,TRUE),exact(metadata!F28,"animal-associated habitat"))</f>
        <v>0</v>
      </c>
      <c r="AA28">
        <f>AND(IF(metadata!G28="",FALSE,TRUE),exact(metadata!G28,"mouse"))</f>
        <v>0</v>
      </c>
      <c r="AB28">
        <f>AND(IF(metadata!H28="",FALSE,TRUE),exact(metadata!H28,"Mus musculus"))</f>
        <v>0</v>
      </c>
      <c r="AC28">
        <f>AND(IF(metadata!I28="",FALSE,TRUE),exact(metadata!I28,"10090"))</f>
        <v>0</v>
      </c>
      <c r="AD28">
        <f>OR(AND(IF(metadata!J28="",FALSE,TRUE),OR(exact(metadata!J28,"not applicable"),exact(metadata!J28,"missing: not collected"),exact(metadata!J28,"missing: not provided"),exact(metadata!J28,"missing: restricted access"))),AND(IF(metadata!J28="",FALSE,ISNUMBER(VALUE(metadata!J28))),metadata!J28&gt;0))</f>
        <v>0</v>
      </c>
      <c r="AE28">
        <f>AND(IF(metadata!K28="",FALSE,TRUE),exact(metadata!K28,"g"))</f>
        <v>0</v>
      </c>
    </row>
    <row r="29" spans="1:31">
      <c r="A29" s="5">
        <f>IF(B29=" "," ",HYPERLINK(CONCATENATE("#metadata!",ADDRESS(INDEX($Q$2:$Q$1001,MATCH(ROWS($O$2:O29),$O$2:$O$1001,0),0),1)),INDEX($T$2:$T$1001,MATCH(ROWS($O$2:O29),$O$2:$O$1001,0),0)))</f>
        <v>0</v>
      </c>
      <c r="B29" s="4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4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4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4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4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4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4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4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4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4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OR(AND(IF(metadata!C29="",FALSE,TRUE),OR(exact(metadata!C29,"not applicable"),exact(metadata!C29,"missing: not collected"),exact(metadata!C29,"missing: not provided"),exact(metadata!C29,"missing: restricted access"))),AND(IF(metadata!C29="",FALSE,ISNUMBER(VALUE(metadata!C29))),metadata!C29&gt;0))</f>
        <v>0</v>
      </c>
      <c r="X29">
        <f>AND(IF(metadata!D29="",FALSE,TRUE),exact(metadata!D29,"weeks"))</f>
        <v>0</v>
      </c>
      <c r="Y29">
        <f>AND(IF(metadata!E29="",FALSE,TRUE),exact(metadata!E29,"urban biome"))</f>
        <v>0</v>
      </c>
      <c r="Z29">
        <f>AND(IF(metadata!F29="",FALSE,TRUE),exact(metadata!F29,"animal-associated habitat"))</f>
        <v>0</v>
      </c>
      <c r="AA29">
        <f>AND(IF(metadata!G29="",FALSE,TRUE),exact(metadata!G29,"mouse"))</f>
        <v>0</v>
      </c>
      <c r="AB29">
        <f>AND(IF(metadata!H29="",FALSE,TRUE),exact(metadata!H29,"Mus musculus"))</f>
        <v>0</v>
      </c>
      <c r="AC29">
        <f>AND(IF(metadata!I29="",FALSE,TRUE),exact(metadata!I29,"10090"))</f>
        <v>0</v>
      </c>
      <c r="AD29">
        <f>OR(AND(IF(metadata!J29="",FALSE,TRUE),OR(exact(metadata!J29,"not applicable"),exact(metadata!J29,"missing: not collected"),exact(metadata!J29,"missing: not provided"),exact(metadata!J29,"missing: restricted access"))),AND(IF(metadata!J29="",FALSE,ISNUMBER(VALUE(metadata!J29))),metadata!J29&gt;0))</f>
        <v>0</v>
      </c>
      <c r="AE29">
        <f>AND(IF(metadata!K29="",FALSE,TRUE),exact(metadata!K29,"g"))</f>
        <v>0</v>
      </c>
    </row>
    <row r="30" spans="1:31">
      <c r="A30" s="5">
        <f>IF(B30=" "," ",HYPERLINK(CONCATENATE("#metadata!",ADDRESS(INDEX($Q$2:$Q$1001,MATCH(ROWS($O$2:O30),$O$2:$O$1001,0),0),1)),INDEX($T$2:$T$1001,MATCH(ROWS($O$2:O30),$O$2:$O$1001,0),0)))</f>
        <v>0</v>
      </c>
      <c r="B30" s="4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4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4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4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4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4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4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4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4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4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OR(AND(IF(metadata!C30="",FALSE,TRUE),OR(exact(metadata!C30,"not applicable"),exact(metadata!C30,"missing: not collected"),exact(metadata!C30,"missing: not provided"),exact(metadata!C30,"missing: restricted access"))),AND(IF(metadata!C30="",FALSE,ISNUMBER(VALUE(metadata!C30))),metadata!C30&gt;0))</f>
        <v>0</v>
      </c>
      <c r="X30">
        <f>AND(IF(metadata!D30="",FALSE,TRUE),exact(metadata!D30,"weeks"))</f>
        <v>0</v>
      </c>
      <c r="Y30">
        <f>AND(IF(metadata!E30="",FALSE,TRUE),exact(metadata!E30,"urban biome"))</f>
        <v>0</v>
      </c>
      <c r="Z30">
        <f>AND(IF(metadata!F30="",FALSE,TRUE),exact(metadata!F30,"animal-associated habitat"))</f>
        <v>0</v>
      </c>
      <c r="AA30">
        <f>AND(IF(metadata!G30="",FALSE,TRUE),exact(metadata!G30,"mouse"))</f>
        <v>0</v>
      </c>
      <c r="AB30">
        <f>AND(IF(metadata!H30="",FALSE,TRUE),exact(metadata!H30,"Mus musculus"))</f>
        <v>0</v>
      </c>
      <c r="AC30">
        <f>AND(IF(metadata!I30="",FALSE,TRUE),exact(metadata!I30,"10090"))</f>
        <v>0</v>
      </c>
      <c r="AD30">
        <f>OR(AND(IF(metadata!J30="",FALSE,TRUE),OR(exact(metadata!J30,"not applicable"),exact(metadata!J30,"missing: not collected"),exact(metadata!J30,"missing: not provided"),exact(metadata!J30,"missing: restricted access"))),AND(IF(metadata!J30="",FALSE,ISNUMBER(VALUE(metadata!J30))),metadata!J30&gt;0))</f>
        <v>0</v>
      </c>
      <c r="AE30">
        <f>AND(IF(metadata!K30="",FALSE,TRUE),exact(metadata!K30,"g"))</f>
        <v>0</v>
      </c>
    </row>
    <row r="31" spans="1:31">
      <c r="A31" s="5">
        <f>IF(B31=" "," ",HYPERLINK(CONCATENATE("#metadata!",ADDRESS(INDEX($Q$2:$Q$1001,MATCH(ROWS($O$2:O31),$O$2:$O$1001,0),0),1)),INDEX($T$2:$T$1001,MATCH(ROWS($O$2:O31),$O$2:$O$1001,0),0)))</f>
        <v>0</v>
      </c>
      <c r="B31" s="4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4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4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4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4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4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4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4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4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4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OR(AND(IF(metadata!C31="",FALSE,TRUE),OR(exact(metadata!C31,"not applicable"),exact(metadata!C31,"missing: not collected"),exact(metadata!C31,"missing: not provided"),exact(metadata!C31,"missing: restricted access"))),AND(IF(metadata!C31="",FALSE,ISNUMBER(VALUE(metadata!C31))),metadata!C31&gt;0))</f>
        <v>0</v>
      </c>
      <c r="X31">
        <f>AND(IF(metadata!D31="",FALSE,TRUE),exact(metadata!D31,"weeks"))</f>
        <v>0</v>
      </c>
      <c r="Y31">
        <f>AND(IF(metadata!E31="",FALSE,TRUE),exact(metadata!E31,"urban biome"))</f>
        <v>0</v>
      </c>
      <c r="Z31">
        <f>AND(IF(metadata!F31="",FALSE,TRUE),exact(metadata!F31,"animal-associated habitat"))</f>
        <v>0</v>
      </c>
      <c r="AA31">
        <f>AND(IF(metadata!G31="",FALSE,TRUE),exact(metadata!G31,"mouse"))</f>
        <v>0</v>
      </c>
      <c r="AB31">
        <f>AND(IF(metadata!H31="",FALSE,TRUE),exact(metadata!H31,"Mus musculus"))</f>
        <v>0</v>
      </c>
      <c r="AC31">
        <f>AND(IF(metadata!I31="",FALSE,TRUE),exact(metadata!I31,"10090"))</f>
        <v>0</v>
      </c>
      <c r="AD31">
        <f>OR(AND(IF(metadata!J31="",FALSE,TRUE),OR(exact(metadata!J31,"not applicable"),exact(metadata!J31,"missing: not collected"),exact(metadata!J31,"missing: not provided"),exact(metadata!J31,"missing: restricted access"))),AND(IF(metadata!J31="",FALSE,ISNUMBER(VALUE(metadata!J31))),metadata!J31&gt;0))</f>
        <v>0</v>
      </c>
      <c r="AE31">
        <f>AND(IF(metadata!K31="",FALSE,TRUE),exact(metadata!K31,"g"))</f>
        <v>0</v>
      </c>
    </row>
    <row r="32" spans="1:31">
      <c r="A32" s="5">
        <f>IF(B32=" "," ",HYPERLINK(CONCATENATE("#metadata!",ADDRESS(INDEX($Q$2:$Q$1001,MATCH(ROWS($O$2:O32),$O$2:$O$1001,0),0),1)),INDEX($T$2:$T$1001,MATCH(ROWS($O$2:O32),$O$2:$O$1001,0),0)))</f>
        <v>0</v>
      </c>
      <c r="B32" s="4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4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4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4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4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4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4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4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4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4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OR(AND(IF(metadata!C32="",FALSE,TRUE),OR(exact(metadata!C32,"not applicable"),exact(metadata!C32,"missing: not collected"),exact(metadata!C32,"missing: not provided"),exact(metadata!C32,"missing: restricted access"))),AND(IF(metadata!C32="",FALSE,ISNUMBER(VALUE(metadata!C32))),metadata!C32&gt;0))</f>
        <v>0</v>
      </c>
      <c r="X32">
        <f>AND(IF(metadata!D32="",FALSE,TRUE),exact(metadata!D32,"weeks"))</f>
        <v>0</v>
      </c>
      <c r="Y32">
        <f>AND(IF(metadata!E32="",FALSE,TRUE),exact(metadata!E32,"urban biome"))</f>
        <v>0</v>
      </c>
      <c r="Z32">
        <f>AND(IF(metadata!F32="",FALSE,TRUE),exact(metadata!F32,"animal-associated habitat"))</f>
        <v>0</v>
      </c>
      <c r="AA32">
        <f>AND(IF(metadata!G32="",FALSE,TRUE),exact(metadata!G32,"mouse"))</f>
        <v>0</v>
      </c>
      <c r="AB32">
        <f>AND(IF(metadata!H32="",FALSE,TRUE),exact(metadata!H32,"Mus musculus"))</f>
        <v>0</v>
      </c>
      <c r="AC32">
        <f>AND(IF(metadata!I32="",FALSE,TRUE),exact(metadata!I32,"10090"))</f>
        <v>0</v>
      </c>
      <c r="AD32">
        <f>OR(AND(IF(metadata!J32="",FALSE,TRUE),OR(exact(metadata!J32,"not applicable"),exact(metadata!J32,"missing: not collected"),exact(metadata!J32,"missing: not provided"),exact(metadata!J32,"missing: restricted access"))),AND(IF(metadata!J32="",FALSE,ISNUMBER(VALUE(metadata!J32))),metadata!J32&gt;0))</f>
        <v>0</v>
      </c>
      <c r="AE32">
        <f>AND(IF(metadata!K32="",FALSE,TRUE),exact(metadata!K32,"g"))</f>
        <v>0</v>
      </c>
    </row>
    <row r="33" spans="1:31">
      <c r="A33" s="5">
        <f>IF(B33=" "," ",HYPERLINK(CONCATENATE("#metadata!",ADDRESS(INDEX($Q$2:$Q$1001,MATCH(ROWS($O$2:O33),$O$2:$O$1001,0),0),1)),INDEX($T$2:$T$1001,MATCH(ROWS($O$2:O33),$O$2:$O$1001,0),0)))</f>
        <v>0</v>
      </c>
      <c r="B33" s="4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4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4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4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4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4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4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4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4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4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OR(AND(IF(metadata!C33="",FALSE,TRUE),OR(exact(metadata!C33,"not applicable"),exact(metadata!C33,"missing: not collected"),exact(metadata!C33,"missing: not provided"),exact(metadata!C33,"missing: restricted access"))),AND(IF(metadata!C33="",FALSE,ISNUMBER(VALUE(metadata!C33))),metadata!C33&gt;0))</f>
        <v>0</v>
      </c>
      <c r="X33">
        <f>AND(IF(metadata!D33="",FALSE,TRUE),exact(metadata!D33,"weeks"))</f>
        <v>0</v>
      </c>
      <c r="Y33">
        <f>AND(IF(metadata!E33="",FALSE,TRUE),exact(metadata!E33,"urban biome"))</f>
        <v>0</v>
      </c>
      <c r="Z33">
        <f>AND(IF(metadata!F33="",FALSE,TRUE),exact(metadata!F33,"animal-associated habitat"))</f>
        <v>0</v>
      </c>
      <c r="AA33">
        <f>AND(IF(metadata!G33="",FALSE,TRUE),exact(metadata!G33,"mouse"))</f>
        <v>0</v>
      </c>
      <c r="AB33">
        <f>AND(IF(metadata!H33="",FALSE,TRUE),exact(metadata!H33,"Mus musculus"))</f>
        <v>0</v>
      </c>
      <c r="AC33">
        <f>AND(IF(metadata!I33="",FALSE,TRUE),exact(metadata!I33,"10090"))</f>
        <v>0</v>
      </c>
      <c r="AD33">
        <f>OR(AND(IF(metadata!J33="",FALSE,TRUE),OR(exact(metadata!J33,"not applicable"),exact(metadata!J33,"missing: not collected"),exact(metadata!J33,"missing: not provided"),exact(metadata!J33,"missing: restricted access"))),AND(IF(metadata!J33="",FALSE,ISNUMBER(VALUE(metadata!J33))),metadata!J33&gt;0))</f>
        <v>0</v>
      </c>
      <c r="AE33">
        <f>AND(IF(metadata!K33="",FALSE,TRUE),exact(metadata!K33,"g"))</f>
        <v>0</v>
      </c>
    </row>
    <row r="34" spans="1:31">
      <c r="A34" s="5">
        <f>IF(B34=" "," ",HYPERLINK(CONCATENATE("#metadata!",ADDRESS(INDEX($Q$2:$Q$1001,MATCH(ROWS($O$2:O34),$O$2:$O$1001,0),0),1)),INDEX($T$2:$T$1001,MATCH(ROWS($O$2:O34),$O$2:$O$1001,0),0)))</f>
        <v>0</v>
      </c>
      <c r="B34" s="4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4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4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4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4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4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4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4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4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4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OR(AND(IF(metadata!C34="",FALSE,TRUE),OR(exact(metadata!C34,"not applicable"),exact(metadata!C34,"missing: not collected"),exact(metadata!C34,"missing: not provided"),exact(metadata!C34,"missing: restricted access"))),AND(IF(metadata!C34="",FALSE,ISNUMBER(VALUE(metadata!C34))),metadata!C34&gt;0))</f>
        <v>0</v>
      </c>
      <c r="X34">
        <f>AND(IF(metadata!D34="",FALSE,TRUE),exact(metadata!D34,"weeks"))</f>
        <v>0</v>
      </c>
      <c r="Y34">
        <f>AND(IF(metadata!E34="",FALSE,TRUE),exact(metadata!E34,"urban biome"))</f>
        <v>0</v>
      </c>
      <c r="Z34">
        <f>AND(IF(metadata!F34="",FALSE,TRUE),exact(metadata!F34,"animal-associated habitat"))</f>
        <v>0</v>
      </c>
      <c r="AA34">
        <f>AND(IF(metadata!G34="",FALSE,TRUE),exact(metadata!G34,"mouse"))</f>
        <v>0</v>
      </c>
      <c r="AB34">
        <f>AND(IF(metadata!H34="",FALSE,TRUE),exact(metadata!H34,"Mus musculus"))</f>
        <v>0</v>
      </c>
      <c r="AC34">
        <f>AND(IF(metadata!I34="",FALSE,TRUE),exact(metadata!I34,"10090"))</f>
        <v>0</v>
      </c>
      <c r="AD34">
        <f>OR(AND(IF(metadata!J34="",FALSE,TRUE),OR(exact(metadata!J34,"not applicable"),exact(metadata!J34,"missing: not collected"),exact(metadata!J34,"missing: not provided"),exact(metadata!J34,"missing: restricted access"))),AND(IF(metadata!J34="",FALSE,ISNUMBER(VALUE(metadata!J34))),metadata!J34&gt;0))</f>
        <v>0</v>
      </c>
      <c r="AE34">
        <f>AND(IF(metadata!K34="",FALSE,TRUE),exact(metadata!K34,"g"))</f>
        <v>0</v>
      </c>
    </row>
    <row r="35" spans="1:31">
      <c r="A35" s="5">
        <f>IF(B35=" "," ",HYPERLINK(CONCATENATE("#metadata!",ADDRESS(INDEX($Q$2:$Q$1001,MATCH(ROWS($O$2:O35),$O$2:$O$1001,0),0),1)),INDEX($T$2:$T$1001,MATCH(ROWS($O$2:O35),$O$2:$O$1001,0),0)))</f>
        <v>0</v>
      </c>
      <c r="B35" s="4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4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4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4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4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4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4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4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4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4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OR(AND(IF(metadata!C35="",FALSE,TRUE),OR(exact(metadata!C35,"not applicable"),exact(metadata!C35,"missing: not collected"),exact(metadata!C35,"missing: not provided"),exact(metadata!C35,"missing: restricted access"))),AND(IF(metadata!C35="",FALSE,ISNUMBER(VALUE(metadata!C35))),metadata!C35&gt;0))</f>
        <v>0</v>
      </c>
      <c r="X35">
        <f>AND(IF(metadata!D35="",FALSE,TRUE),exact(metadata!D35,"weeks"))</f>
        <v>0</v>
      </c>
      <c r="Y35">
        <f>AND(IF(metadata!E35="",FALSE,TRUE),exact(metadata!E35,"urban biome"))</f>
        <v>0</v>
      </c>
      <c r="Z35">
        <f>AND(IF(metadata!F35="",FALSE,TRUE),exact(metadata!F35,"animal-associated habitat"))</f>
        <v>0</v>
      </c>
      <c r="AA35">
        <f>AND(IF(metadata!G35="",FALSE,TRUE),exact(metadata!G35,"mouse"))</f>
        <v>0</v>
      </c>
      <c r="AB35">
        <f>AND(IF(metadata!H35="",FALSE,TRUE),exact(metadata!H35,"Mus musculus"))</f>
        <v>0</v>
      </c>
      <c r="AC35">
        <f>AND(IF(metadata!I35="",FALSE,TRUE),exact(metadata!I35,"10090"))</f>
        <v>0</v>
      </c>
      <c r="AD35">
        <f>OR(AND(IF(metadata!J35="",FALSE,TRUE),OR(exact(metadata!J35,"not applicable"),exact(metadata!J35,"missing: not collected"),exact(metadata!J35,"missing: not provided"),exact(metadata!J35,"missing: restricted access"))),AND(IF(metadata!J35="",FALSE,ISNUMBER(VALUE(metadata!J35))),metadata!J35&gt;0))</f>
        <v>0</v>
      </c>
      <c r="AE35">
        <f>AND(IF(metadata!K35="",FALSE,TRUE),exact(metadata!K35,"g"))</f>
        <v>0</v>
      </c>
    </row>
    <row r="36" spans="1:31">
      <c r="A36" s="5">
        <f>IF(B36=" "," ",HYPERLINK(CONCATENATE("#metadata!",ADDRESS(INDEX($Q$2:$Q$1001,MATCH(ROWS($O$2:O36),$O$2:$O$1001,0),0),1)),INDEX($T$2:$T$1001,MATCH(ROWS($O$2:O36),$O$2:$O$1001,0),0)))</f>
        <v>0</v>
      </c>
      <c r="B36" s="4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4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4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4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4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4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4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4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4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4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OR(AND(IF(metadata!C36="",FALSE,TRUE),OR(exact(metadata!C36,"not applicable"),exact(metadata!C36,"missing: not collected"),exact(metadata!C36,"missing: not provided"),exact(metadata!C36,"missing: restricted access"))),AND(IF(metadata!C36="",FALSE,ISNUMBER(VALUE(metadata!C36))),metadata!C36&gt;0))</f>
        <v>0</v>
      </c>
      <c r="X36">
        <f>AND(IF(metadata!D36="",FALSE,TRUE),exact(metadata!D36,"weeks"))</f>
        <v>0</v>
      </c>
      <c r="Y36">
        <f>AND(IF(metadata!E36="",FALSE,TRUE),exact(metadata!E36,"urban biome"))</f>
        <v>0</v>
      </c>
      <c r="Z36">
        <f>AND(IF(metadata!F36="",FALSE,TRUE),exact(metadata!F36,"animal-associated habitat"))</f>
        <v>0</v>
      </c>
      <c r="AA36">
        <f>AND(IF(metadata!G36="",FALSE,TRUE),exact(metadata!G36,"mouse"))</f>
        <v>0</v>
      </c>
      <c r="AB36">
        <f>AND(IF(metadata!H36="",FALSE,TRUE),exact(metadata!H36,"Mus musculus"))</f>
        <v>0</v>
      </c>
      <c r="AC36">
        <f>AND(IF(metadata!I36="",FALSE,TRUE),exact(metadata!I36,"10090"))</f>
        <v>0</v>
      </c>
      <c r="AD36">
        <f>OR(AND(IF(metadata!J36="",FALSE,TRUE),OR(exact(metadata!J36,"not applicable"),exact(metadata!J36,"missing: not collected"),exact(metadata!J36,"missing: not provided"),exact(metadata!J36,"missing: restricted access"))),AND(IF(metadata!J36="",FALSE,ISNUMBER(VALUE(metadata!J36))),metadata!J36&gt;0))</f>
        <v>0</v>
      </c>
      <c r="AE36">
        <f>AND(IF(metadata!K36="",FALSE,TRUE),exact(metadata!K36,"g"))</f>
        <v>0</v>
      </c>
    </row>
    <row r="37" spans="1:31">
      <c r="A37" s="5">
        <f>IF(B37=" "," ",HYPERLINK(CONCATENATE("#metadata!",ADDRESS(INDEX($Q$2:$Q$1001,MATCH(ROWS($O$2:O37),$O$2:$O$1001,0),0),1)),INDEX($T$2:$T$1001,MATCH(ROWS($O$2:O37),$O$2:$O$1001,0),0)))</f>
        <v>0</v>
      </c>
      <c r="B37" s="4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4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4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4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4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4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4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4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4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4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OR(AND(IF(metadata!C37="",FALSE,TRUE),OR(exact(metadata!C37,"not applicable"),exact(metadata!C37,"missing: not collected"),exact(metadata!C37,"missing: not provided"),exact(metadata!C37,"missing: restricted access"))),AND(IF(metadata!C37="",FALSE,ISNUMBER(VALUE(metadata!C37))),metadata!C37&gt;0))</f>
        <v>0</v>
      </c>
      <c r="X37">
        <f>AND(IF(metadata!D37="",FALSE,TRUE),exact(metadata!D37,"weeks"))</f>
        <v>0</v>
      </c>
      <c r="Y37">
        <f>AND(IF(metadata!E37="",FALSE,TRUE),exact(metadata!E37,"urban biome"))</f>
        <v>0</v>
      </c>
      <c r="Z37">
        <f>AND(IF(metadata!F37="",FALSE,TRUE),exact(metadata!F37,"animal-associated habitat"))</f>
        <v>0</v>
      </c>
      <c r="AA37">
        <f>AND(IF(metadata!G37="",FALSE,TRUE),exact(metadata!G37,"mouse"))</f>
        <v>0</v>
      </c>
      <c r="AB37">
        <f>AND(IF(metadata!H37="",FALSE,TRUE),exact(metadata!H37,"Mus musculus"))</f>
        <v>0</v>
      </c>
      <c r="AC37">
        <f>AND(IF(metadata!I37="",FALSE,TRUE),exact(metadata!I37,"10090"))</f>
        <v>0</v>
      </c>
      <c r="AD37">
        <f>OR(AND(IF(metadata!J37="",FALSE,TRUE),OR(exact(metadata!J37,"not applicable"),exact(metadata!J37,"missing: not collected"),exact(metadata!J37,"missing: not provided"),exact(metadata!J37,"missing: restricted access"))),AND(IF(metadata!J37="",FALSE,ISNUMBER(VALUE(metadata!J37))),metadata!J37&gt;0))</f>
        <v>0</v>
      </c>
      <c r="AE37">
        <f>AND(IF(metadata!K37="",FALSE,TRUE),exact(metadata!K37,"g"))</f>
        <v>0</v>
      </c>
    </row>
    <row r="38" spans="1:31">
      <c r="A38" s="5">
        <f>IF(B38=" "," ",HYPERLINK(CONCATENATE("#metadata!",ADDRESS(INDEX($Q$2:$Q$1001,MATCH(ROWS($O$2:O38),$O$2:$O$1001,0),0),1)),INDEX($T$2:$T$1001,MATCH(ROWS($O$2:O38),$O$2:$O$1001,0),0)))</f>
        <v>0</v>
      </c>
      <c r="B38" s="4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4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4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4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4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4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4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4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4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4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OR(AND(IF(metadata!C38="",FALSE,TRUE),OR(exact(metadata!C38,"not applicable"),exact(metadata!C38,"missing: not collected"),exact(metadata!C38,"missing: not provided"),exact(metadata!C38,"missing: restricted access"))),AND(IF(metadata!C38="",FALSE,ISNUMBER(VALUE(metadata!C38))),metadata!C38&gt;0))</f>
        <v>0</v>
      </c>
      <c r="X38">
        <f>AND(IF(metadata!D38="",FALSE,TRUE),exact(metadata!D38,"weeks"))</f>
        <v>0</v>
      </c>
      <c r="Y38">
        <f>AND(IF(metadata!E38="",FALSE,TRUE),exact(metadata!E38,"urban biome"))</f>
        <v>0</v>
      </c>
      <c r="Z38">
        <f>AND(IF(metadata!F38="",FALSE,TRUE),exact(metadata!F38,"animal-associated habitat"))</f>
        <v>0</v>
      </c>
      <c r="AA38">
        <f>AND(IF(metadata!G38="",FALSE,TRUE),exact(metadata!G38,"mouse"))</f>
        <v>0</v>
      </c>
      <c r="AB38">
        <f>AND(IF(metadata!H38="",FALSE,TRUE),exact(metadata!H38,"Mus musculus"))</f>
        <v>0</v>
      </c>
      <c r="AC38">
        <f>AND(IF(metadata!I38="",FALSE,TRUE),exact(metadata!I38,"10090"))</f>
        <v>0</v>
      </c>
      <c r="AD38">
        <f>OR(AND(IF(metadata!J38="",FALSE,TRUE),OR(exact(metadata!J38,"not applicable"),exact(metadata!J38,"missing: not collected"),exact(metadata!J38,"missing: not provided"),exact(metadata!J38,"missing: restricted access"))),AND(IF(metadata!J38="",FALSE,ISNUMBER(VALUE(metadata!J38))),metadata!J38&gt;0))</f>
        <v>0</v>
      </c>
      <c r="AE38">
        <f>AND(IF(metadata!K38="",FALSE,TRUE),exact(metadata!K38,"g"))</f>
        <v>0</v>
      </c>
    </row>
    <row r="39" spans="1:31">
      <c r="A39" s="5">
        <f>IF(B39=" "," ",HYPERLINK(CONCATENATE("#metadata!",ADDRESS(INDEX($Q$2:$Q$1001,MATCH(ROWS($O$2:O39),$O$2:$O$1001,0),0),1)),INDEX($T$2:$T$1001,MATCH(ROWS($O$2:O39),$O$2:$O$1001,0),0)))</f>
        <v>0</v>
      </c>
      <c r="B39" s="4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4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4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4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4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4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4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4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4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4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OR(AND(IF(metadata!C39="",FALSE,TRUE),OR(exact(metadata!C39,"not applicable"),exact(metadata!C39,"missing: not collected"),exact(metadata!C39,"missing: not provided"),exact(metadata!C39,"missing: restricted access"))),AND(IF(metadata!C39="",FALSE,ISNUMBER(VALUE(metadata!C39))),metadata!C39&gt;0))</f>
        <v>0</v>
      </c>
      <c r="X39">
        <f>AND(IF(metadata!D39="",FALSE,TRUE),exact(metadata!D39,"weeks"))</f>
        <v>0</v>
      </c>
      <c r="Y39">
        <f>AND(IF(metadata!E39="",FALSE,TRUE),exact(metadata!E39,"urban biome"))</f>
        <v>0</v>
      </c>
      <c r="Z39">
        <f>AND(IF(metadata!F39="",FALSE,TRUE),exact(metadata!F39,"animal-associated habitat"))</f>
        <v>0</v>
      </c>
      <c r="AA39">
        <f>AND(IF(metadata!G39="",FALSE,TRUE),exact(metadata!G39,"mouse"))</f>
        <v>0</v>
      </c>
      <c r="AB39">
        <f>AND(IF(metadata!H39="",FALSE,TRUE),exact(metadata!H39,"Mus musculus"))</f>
        <v>0</v>
      </c>
      <c r="AC39">
        <f>AND(IF(metadata!I39="",FALSE,TRUE),exact(metadata!I39,"10090"))</f>
        <v>0</v>
      </c>
      <c r="AD39">
        <f>OR(AND(IF(metadata!J39="",FALSE,TRUE),OR(exact(metadata!J39,"not applicable"),exact(metadata!J39,"missing: not collected"),exact(metadata!J39,"missing: not provided"),exact(metadata!J39,"missing: restricted access"))),AND(IF(metadata!J39="",FALSE,ISNUMBER(VALUE(metadata!J39))),metadata!J39&gt;0))</f>
        <v>0</v>
      </c>
      <c r="AE39">
        <f>AND(IF(metadata!K39="",FALSE,TRUE),exact(metadata!K39,"g"))</f>
        <v>0</v>
      </c>
    </row>
    <row r="40" spans="1:31">
      <c r="A40" s="5">
        <f>IF(B40=" "," ",HYPERLINK(CONCATENATE("#metadata!",ADDRESS(INDEX($Q$2:$Q$1001,MATCH(ROWS($O$2:O40),$O$2:$O$1001,0),0),1)),INDEX($T$2:$T$1001,MATCH(ROWS($O$2:O40),$O$2:$O$1001,0),0)))</f>
        <v>0</v>
      </c>
      <c r="B40" s="4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4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4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4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4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4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4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4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4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4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OR(AND(IF(metadata!C40="",FALSE,TRUE),OR(exact(metadata!C40,"not applicable"),exact(metadata!C40,"missing: not collected"),exact(metadata!C40,"missing: not provided"),exact(metadata!C40,"missing: restricted access"))),AND(IF(metadata!C40="",FALSE,ISNUMBER(VALUE(metadata!C40))),metadata!C40&gt;0))</f>
        <v>0</v>
      </c>
      <c r="X40">
        <f>AND(IF(metadata!D40="",FALSE,TRUE),exact(metadata!D40,"weeks"))</f>
        <v>0</v>
      </c>
      <c r="Y40">
        <f>AND(IF(metadata!E40="",FALSE,TRUE),exact(metadata!E40,"urban biome"))</f>
        <v>0</v>
      </c>
      <c r="Z40">
        <f>AND(IF(metadata!F40="",FALSE,TRUE),exact(metadata!F40,"animal-associated habitat"))</f>
        <v>0</v>
      </c>
      <c r="AA40">
        <f>AND(IF(metadata!G40="",FALSE,TRUE),exact(metadata!G40,"mouse"))</f>
        <v>0</v>
      </c>
      <c r="AB40">
        <f>AND(IF(metadata!H40="",FALSE,TRUE),exact(metadata!H40,"Mus musculus"))</f>
        <v>0</v>
      </c>
      <c r="AC40">
        <f>AND(IF(metadata!I40="",FALSE,TRUE),exact(metadata!I40,"10090"))</f>
        <v>0</v>
      </c>
      <c r="AD40">
        <f>OR(AND(IF(metadata!J40="",FALSE,TRUE),OR(exact(metadata!J40,"not applicable"),exact(metadata!J40,"missing: not collected"),exact(metadata!J40,"missing: not provided"),exact(metadata!J40,"missing: restricted access"))),AND(IF(metadata!J40="",FALSE,ISNUMBER(VALUE(metadata!J40))),metadata!J40&gt;0))</f>
        <v>0</v>
      </c>
      <c r="AE40">
        <f>AND(IF(metadata!K40="",FALSE,TRUE),exact(metadata!K40,"g"))</f>
        <v>0</v>
      </c>
    </row>
    <row r="41" spans="1:31">
      <c r="A41" s="5">
        <f>IF(B41=" "," ",HYPERLINK(CONCATENATE("#metadata!",ADDRESS(INDEX($Q$2:$Q$1001,MATCH(ROWS($O$2:O41),$O$2:$O$1001,0),0),1)),INDEX($T$2:$T$1001,MATCH(ROWS($O$2:O41),$O$2:$O$1001,0),0)))</f>
        <v>0</v>
      </c>
      <c r="B41" s="4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4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4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4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4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4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4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4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4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4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OR(AND(IF(metadata!C41="",FALSE,TRUE),OR(exact(metadata!C41,"not applicable"),exact(metadata!C41,"missing: not collected"),exact(metadata!C41,"missing: not provided"),exact(metadata!C41,"missing: restricted access"))),AND(IF(metadata!C41="",FALSE,ISNUMBER(VALUE(metadata!C41))),metadata!C41&gt;0))</f>
        <v>0</v>
      </c>
      <c r="X41">
        <f>AND(IF(metadata!D41="",FALSE,TRUE),exact(metadata!D41,"weeks"))</f>
        <v>0</v>
      </c>
      <c r="Y41">
        <f>AND(IF(metadata!E41="",FALSE,TRUE),exact(metadata!E41,"urban biome"))</f>
        <v>0</v>
      </c>
      <c r="Z41">
        <f>AND(IF(metadata!F41="",FALSE,TRUE),exact(metadata!F41,"animal-associated habitat"))</f>
        <v>0</v>
      </c>
      <c r="AA41">
        <f>AND(IF(metadata!G41="",FALSE,TRUE),exact(metadata!G41,"mouse"))</f>
        <v>0</v>
      </c>
      <c r="AB41">
        <f>AND(IF(metadata!H41="",FALSE,TRUE),exact(metadata!H41,"Mus musculus"))</f>
        <v>0</v>
      </c>
      <c r="AC41">
        <f>AND(IF(metadata!I41="",FALSE,TRUE),exact(metadata!I41,"10090"))</f>
        <v>0</v>
      </c>
      <c r="AD41">
        <f>OR(AND(IF(metadata!J41="",FALSE,TRUE),OR(exact(metadata!J41,"not applicable"),exact(metadata!J41,"missing: not collected"),exact(metadata!J41,"missing: not provided"),exact(metadata!J41,"missing: restricted access"))),AND(IF(metadata!J41="",FALSE,ISNUMBER(VALUE(metadata!J41))),metadata!J41&gt;0))</f>
        <v>0</v>
      </c>
      <c r="AE41">
        <f>AND(IF(metadata!K41="",FALSE,TRUE),exact(metadata!K41,"g"))</f>
        <v>0</v>
      </c>
    </row>
    <row r="42" spans="1:31">
      <c r="A42" s="5">
        <f>IF(B42=" "," ",HYPERLINK(CONCATENATE("#metadata!",ADDRESS(INDEX($Q$2:$Q$1001,MATCH(ROWS($O$2:O42),$O$2:$O$1001,0),0),1)),INDEX($T$2:$T$1001,MATCH(ROWS($O$2:O42),$O$2:$O$1001,0),0)))</f>
        <v>0</v>
      </c>
      <c r="B42" s="4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4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4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4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4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4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4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4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4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4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OR(AND(IF(metadata!C42="",FALSE,TRUE),OR(exact(metadata!C42,"not applicable"),exact(metadata!C42,"missing: not collected"),exact(metadata!C42,"missing: not provided"),exact(metadata!C42,"missing: restricted access"))),AND(IF(metadata!C42="",FALSE,ISNUMBER(VALUE(metadata!C42))),metadata!C42&gt;0))</f>
        <v>0</v>
      </c>
      <c r="X42">
        <f>AND(IF(metadata!D42="",FALSE,TRUE),exact(metadata!D42,"weeks"))</f>
        <v>0</v>
      </c>
      <c r="Y42">
        <f>AND(IF(metadata!E42="",FALSE,TRUE),exact(metadata!E42,"urban biome"))</f>
        <v>0</v>
      </c>
      <c r="Z42">
        <f>AND(IF(metadata!F42="",FALSE,TRUE),exact(metadata!F42,"animal-associated habitat"))</f>
        <v>0</v>
      </c>
      <c r="AA42">
        <f>AND(IF(metadata!G42="",FALSE,TRUE),exact(metadata!G42,"mouse"))</f>
        <v>0</v>
      </c>
      <c r="AB42">
        <f>AND(IF(metadata!H42="",FALSE,TRUE),exact(metadata!H42,"Mus musculus"))</f>
        <v>0</v>
      </c>
      <c r="AC42">
        <f>AND(IF(metadata!I42="",FALSE,TRUE),exact(metadata!I42,"10090"))</f>
        <v>0</v>
      </c>
      <c r="AD42">
        <f>OR(AND(IF(metadata!J42="",FALSE,TRUE),OR(exact(metadata!J42,"not applicable"),exact(metadata!J42,"missing: not collected"),exact(metadata!J42,"missing: not provided"),exact(metadata!J42,"missing: restricted access"))),AND(IF(metadata!J42="",FALSE,ISNUMBER(VALUE(metadata!J42))),metadata!J42&gt;0))</f>
        <v>0</v>
      </c>
      <c r="AE42">
        <f>AND(IF(metadata!K42="",FALSE,TRUE),exact(metadata!K42,"g"))</f>
        <v>0</v>
      </c>
    </row>
    <row r="43" spans="1:31">
      <c r="A43" s="5">
        <f>IF(B43=" "," ",HYPERLINK(CONCATENATE("#metadata!",ADDRESS(INDEX($Q$2:$Q$1001,MATCH(ROWS($O$2:O43),$O$2:$O$1001,0),0),1)),INDEX($T$2:$T$1001,MATCH(ROWS($O$2:O43),$O$2:$O$1001,0),0)))</f>
        <v>0</v>
      </c>
      <c r="B43" s="4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4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4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4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4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4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4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4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4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4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OR(AND(IF(metadata!C43="",FALSE,TRUE),OR(exact(metadata!C43,"not applicable"),exact(metadata!C43,"missing: not collected"),exact(metadata!C43,"missing: not provided"),exact(metadata!C43,"missing: restricted access"))),AND(IF(metadata!C43="",FALSE,ISNUMBER(VALUE(metadata!C43))),metadata!C43&gt;0))</f>
        <v>0</v>
      </c>
      <c r="X43">
        <f>AND(IF(metadata!D43="",FALSE,TRUE),exact(metadata!D43,"weeks"))</f>
        <v>0</v>
      </c>
      <c r="Y43">
        <f>AND(IF(metadata!E43="",FALSE,TRUE),exact(metadata!E43,"urban biome"))</f>
        <v>0</v>
      </c>
      <c r="Z43">
        <f>AND(IF(metadata!F43="",FALSE,TRUE),exact(metadata!F43,"animal-associated habitat"))</f>
        <v>0</v>
      </c>
      <c r="AA43">
        <f>AND(IF(metadata!G43="",FALSE,TRUE),exact(metadata!G43,"mouse"))</f>
        <v>0</v>
      </c>
      <c r="AB43">
        <f>AND(IF(metadata!H43="",FALSE,TRUE),exact(metadata!H43,"Mus musculus"))</f>
        <v>0</v>
      </c>
      <c r="AC43">
        <f>AND(IF(metadata!I43="",FALSE,TRUE),exact(metadata!I43,"10090"))</f>
        <v>0</v>
      </c>
      <c r="AD43">
        <f>OR(AND(IF(metadata!J43="",FALSE,TRUE),OR(exact(metadata!J43,"not applicable"),exact(metadata!J43,"missing: not collected"),exact(metadata!J43,"missing: not provided"),exact(metadata!J43,"missing: restricted access"))),AND(IF(metadata!J43="",FALSE,ISNUMBER(VALUE(metadata!J43))),metadata!J43&gt;0))</f>
        <v>0</v>
      </c>
      <c r="AE43">
        <f>AND(IF(metadata!K43="",FALSE,TRUE),exact(metadata!K43,"g"))</f>
        <v>0</v>
      </c>
    </row>
    <row r="44" spans="1:31">
      <c r="A44" s="5">
        <f>IF(B44=" "," ",HYPERLINK(CONCATENATE("#metadata!",ADDRESS(INDEX($Q$2:$Q$1001,MATCH(ROWS($O$2:O44),$O$2:$O$1001,0),0),1)),INDEX($T$2:$T$1001,MATCH(ROWS($O$2:O44),$O$2:$O$1001,0),0)))</f>
        <v>0</v>
      </c>
      <c r="B44" s="4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4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4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4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4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4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4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4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4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4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OR(AND(IF(metadata!C44="",FALSE,TRUE),OR(exact(metadata!C44,"not applicable"),exact(metadata!C44,"missing: not collected"),exact(metadata!C44,"missing: not provided"),exact(metadata!C44,"missing: restricted access"))),AND(IF(metadata!C44="",FALSE,ISNUMBER(VALUE(metadata!C44))),metadata!C44&gt;0))</f>
        <v>0</v>
      </c>
      <c r="X44">
        <f>AND(IF(metadata!D44="",FALSE,TRUE),exact(metadata!D44,"weeks"))</f>
        <v>0</v>
      </c>
      <c r="Y44">
        <f>AND(IF(metadata!E44="",FALSE,TRUE),exact(metadata!E44,"urban biome"))</f>
        <v>0</v>
      </c>
      <c r="Z44">
        <f>AND(IF(metadata!F44="",FALSE,TRUE),exact(metadata!F44,"animal-associated habitat"))</f>
        <v>0</v>
      </c>
      <c r="AA44">
        <f>AND(IF(metadata!G44="",FALSE,TRUE),exact(metadata!G44,"mouse"))</f>
        <v>0</v>
      </c>
      <c r="AB44">
        <f>AND(IF(metadata!H44="",FALSE,TRUE),exact(metadata!H44,"Mus musculus"))</f>
        <v>0</v>
      </c>
      <c r="AC44">
        <f>AND(IF(metadata!I44="",FALSE,TRUE),exact(metadata!I44,"10090"))</f>
        <v>0</v>
      </c>
      <c r="AD44">
        <f>OR(AND(IF(metadata!J44="",FALSE,TRUE),OR(exact(metadata!J44,"not applicable"),exact(metadata!J44,"missing: not collected"),exact(metadata!J44,"missing: not provided"),exact(metadata!J44,"missing: restricted access"))),AND(IF(metadata!J44="",FALSE,ISNUMBER(VALUE(metadata!J44))),metadata!J44&gt;0))</f>
        <v>0</v>
      </c>
      <c r="AE44">
        <f>AND(IF(metadata!K44="",FALSE,TRUE),exact(metadata!K44,"g"))</f>
        <v>0</v>
      </c>
    </row>
    <row r="45" spans="1:31">
      <c r="A45" s="5">
        <f>IF(B45=" "," ",HYPERLINK(CONCATENATE("#metadata!",ADDRESS(INDEX($Q$2:$Q$1001,MATCH(ROWS($O$2:O45),$O$2:$O$1001,0),0),1)),INDEX($T$2:$T$1001,MATCH(ROWS($O$2:O45),$O$2:$O$1001,0),0)))</f>
        <v>0</v>
      </c>
      <c r="B45" s="4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4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4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4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4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4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4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4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4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4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OR(AND(IF(metadata!C45="",FALSE,TRUE),OR(exact(metadata!C45,"not applicable"),exact(metadata!C45,"missing: not collected"),exact(metadata!C45,"missing: not provided"),exact(metadata!C45,"missing: restricted access"))),AND(IF(metadata!C45="",FALSE,ISNUMBER(VALUE(metadata!C45))),metadata!C45&gt;0))</f>
        <v>0</v>
      </c>
      <c r="X45">
        <f>AND(IF(metadata!D45="",FALSE,TRUE),exact(metadata!D45,"weeks"))</f>
        <v>0</v>
      </c>
      <c r="Y45">
        <f>AND(IF(metadata!E45="",FALSE,TRUE),exact(metadata!E45,"urban biome"))</f>
        <v>0</v>
      </c>
      <c r="Z45">
        <f>AND(IF(metadata!F45="",FALSE,TRUE),exact(metadata!F45,"animal-associated habitat"))</f>
        <v>0</v>
      </c>
      <c r="AA45">
        <f>AND(IF(metadata!G45="",FALSE,TRUE),exact(metadata!G45,"mouse"))</f>
        <v>0</v>
      </c>
      <c r="AB45">
        <f>AND(IF(metadata!H45="",FALSE,TRUE),exact(metadata!H45,"Mus musculus"))</f>
        <v>0</v>
      </c>
      <c r="AC45">
        <f>AND(IF(metadata!I45="",FALSE,TRUE),exact(metadata!I45,"10090"))</f>
        <v>0</v>
      </c>
      <c r="AD45">
        <f>OR(AND(IF(metadata!J45="",FALSE,TRUE),OR(exact(metadata!J45,"not applicable"),exact(metadata!J45,"missing: not collected"),exact(metadata!J45,"missing: not provided"),exact(metadata!J45,"missing: restricted access"))),AND(IF(metadata!J45="",FALSE,ISNUMBER(VALUE(metadata!J45))),metadata!J45&gt;0))</f>
        <v>0</v>
      </c>
      <c r="AE45">
        <f>AND(IF(metadata!K45="",FALSE,TRUE),exact(metadata!K45,"g"))</f>
        <v>0</v>
      </c>
    </row>
    <row r="46" spans="1:31">
      <c r="A46" s="5">
        <f>IF(B46=" "," ",HYPERLINK(CONCATENATE("#metadata!",ADDRESS(INDEX($Q$2:$Q$1001,MATCH(ROWS($O$2:O46),$O$2:$O$1001,0),0),1)),INDEX($T$2:$T$1001,MATCH(ROWS($O$2:O46),$O$2:$O$1001,0),0)))</f>
        <v>0</v>
      </c>
      <c r="B46" s="4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4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4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4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4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4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4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4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4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4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OR(AND(IF(metadata!C46="",FALSE,TRUE),OR(exact(metadata!C46,"not applicable"),exact(metadata!C46,"missing: not collected"),exact(metadata!C46,"missing: not provided"),exact(metadata!C46,"missing: restricted access"))),AND(IF(metadata!C46="",FALSE,ISNUMBER(VALUE(metadata!C46))),metadata!C46&gt;0))</f>
        <v>0</v>
      </c>
      <c r="X46">
        <f>AND(IF(metadata!D46="",FALSE,TRUE),exact(metadata!D46,"weeks"))</f>
        <v>0</v>
      </c>
      <c r="Y46">
        <f>AND(IF(metadata!E46="",FALSE,TRUE),exact(metadata!E46,"urban biome"))</f>
        <v>0</v>
      </c>
      <c r="Z46">
        <f>AND(IF(metadata!F46="",FALSE,TRUE),exact(metadata!F46,"animal-associated habitat"))</f>
        <v>0</v>
      </c>
      <c r="AA46">
        <f>AND(IF(metadata!G46="",FALSE,TRUE),exact(metadata!G46,"mouse"))</f>
        <v>0</v>
      </c>
      <c r="AB46">
        <f>AND(IF(metadata!H46="",FALSE,TRUE),exact(metadata!H46,"Mus musculus"))</f>
        <v>0</v>
      </c>
      <c r="AC46">
        <f>AND(IF(metadata!I46="",FALSE,TRUE),exact(metadata!I46,"10090"))</f>
        <v>0</v>
      </c>
      <c r="AD46">
        <f>OR(AND(IF(metadata!J46="",FALSE,TRUE),OR(exact(metadata!J46,"not applicable"),exact(metadata!J46,"missing: not collected"),exact(metadata!J46,"missing: not provided"),exact(metadata!J46,"missing: restricted access"))),AND(IF(metadata!J46="",FALSE,ISNUMBER(VALUE(metadata!J46))),metadata!J46&gt;0))</f>
        <v>0</v>
      </c>
      <c r="AE46">
        <f>AND(IF(metadata!K46="",FALSE,TRUE),exact(metadata!K46,"g"))</f>
        <v>0</v>
      </c>
    </row>
    <row r="47" spans="1:31">
      <c r="A47" s="5">
        <f>IF(B47=" "," ",HYPERLINK(CONCATENATE("#metadata!",ADDRESS(INDEX($Q$2:$Q$1001,MATCH(ROWS($O$2:O47),$O$2:$O$1001,0),0),1)),INDEX($T$2:$T$1001,MATCH(ROWS($O$2:O47),$O$2:$O$1001,0),0)))</f>
        <v>0</v>
      </c>
      <c r="B47" s="4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4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4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4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4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4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4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4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4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4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OR(AND(IF(metadata!C47="",FALSE,TRUE),OR(exact(metadata!C47,"not applicable"),exact(metadata!C47,"missing: not collected"),exact(metadata!C47,"missing: not provided"),exact(metadata!C47,"missing: restricted access"))),AND(IF(metadata!C47="",FALSE,ISNUMBER(VALUE(metadata!C47))),metadata!C47&gt;0))</f>
        <v>0</v>
      </c>
      <c r="X47">
        <f>AND(IF(metadata!D47="",FALSE,TRUE),exact(metadata!D47,"weeks"))</f>
        <v>0</v>
      </c>
      <c r="Y47">
        <f>AND(IF(metadata!E47="",FALSE,TRUE),exact(metadata!E47,"urban biome"))</f>
        <v>0</v>
      </c>
      <c r="Z47">
        <f>AND(IF(metadata!F47="",FALSE,TRUE),exact(metadata!F47,"animal-associated habitat"))</f>
        <v>0</v>
      </c>
      <c r="AA47">
        <f>AND(IF(metadata!G47="",FALSE,TRUE),exact(metadata!G47,"mouse"))</f>
        <v>0</v>
      </c>
      <c r="AB47">
        <f>AND(IF(metadata!H47="",FALSE,TRUE),exact(metadata!H47,"Mus musculus"))</f>
        <v>0</v>
      </c>
      <c r="AC47">
        <f>AND(IF(metadata!I47="",FALSE,TRUE),exact(metadata!I47,"10090"))</f>
        <v>0</v>
      </c>
      <c r="AD47">
        <f>OR(AND(IF(metadata!J47="",FALSE,TRUE),OR(exact(metadata!J47,"not applicable"),exact(metadata!J47,"missing: not collected"),exact(metadata!J47,"missing: not provided"),exact(metadata!J47,"missing: restricted access"))),AND(IF(metadata!J47="",FALSE,ISNUMBER(VALUE(metadata!J47))),metadata!J47&gt;0))</f>
        <v>0</v>
      </c>
      <c r="AE47">
        <f>AND(IF(metadata!K47="",FALSE,TRUE),exact(metadata!K47,"g"))</f>
        <v>0</v>
      </c>
    </row>
    <row r="48" spans="1:31">
      <c r="A48" s="5">
        <f>IF(B48=" "," ",HYPERLINK(CONCATENATE("#metadata!",ADDRESS(INDEX($Q$2:$Q$1001,MATCH(ROWS($O$2:O48),$O$2:$O$1001,0),0),1)),INDEX($T$2:$T$1001,MATCH(ROWS($O$2:O48),$O$2:$O$1001,0),0)))</f>
        <v>0</v>
      </c>
      <c r="B48" s="4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4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4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4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4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4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4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4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4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4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OR(AND(IF(metadata!C48="",FALSE,TRUE),OR(exact(metadata!C48,"not applicable"),exact(metadata!C48,"missing: not collected"),exact(metadata!C48,"missing: not provided"),exact(metadata!C48,"missing: restricted access"))),AND(IF(metadata!C48="",FALSE,ISNUMBER(VALUE(metadata!C48))),metadata!C48&gt;0))</f>
        <v>0</v>
      </c>
      <c r="X48">
        <f>AND(IF(metadata!D48="",FALSE,TRUE),exact(metadata!D48,"weeks"))</f>
        <v>0</v>
      </c>
      <c r="Y48">
        <f>AND(IF(metadata!E48="",FALSE,TRUE),exact(metadata!E48,"urban biome"))</f>
        <v>0</v>
      </c>
      <c r="Z48">
        <f>AND(IF(metadata!F48="",FALSE,TRUE),exact(metadata!F48,"animal-associated habitat"))</f>
        <v>0</v>
      </c>
      <c r="AA48">
        <f>AND(IF(metadata!G48="",FALSE,TRUE),exact(metadata!G48,"mouse"))</f>
        <v>0</v>
      </c>
      <c r="AB48">
        <f>AND(IF(metadata!H48="",FALSE,TRUE),exact(metadata!H48,"Mus musculus"))</f>
        <v>0</v>
      </c>
      <c r="AC48">
        <f>AND(IF(metadata!I48="",FALSE,TRUE),exact(metadata!I48,"10090"))</f>
        <v>0</v>
      </c>
      <c r="AD48">
        <f>OR(AND(IF(metadata!J48="",FALSE,TRUE),OR(exact(metadata!J48,"not applicable"),exact(metadata!J48,"missing: not collected"),exact(metadata!J48,"missing: not provided"),exact(metadata!J48,"missing: restricted access"))),AND(IF(metadata!J48="",FALSE,ISNUMBER(VALUE(metadata!J48))),metadata!J48&gt;0))</f>
        <v>0</v>
      </c>
      <c r="AE48">
        <f>AND(IF(metadata!K48="",FALSE,TRUE),exact(metadata!K48,"g"))</f>
        <v>0</v>
      </c>
    </row>
    <row r="49" spans="1:31">
      <c r="A49" s="5">
        <f>IF(B49=" "," ",HYPERLINK(CONCATENATE("#metadata!",ADDRESS(INDEX($Q$2:$Q$1001,MATCH(ROWS($O$2:O49),$O$2:$O$1001,0),0),1)),INDEX($T$2:$T$1001,MATCH(ROWS($O$2:O49),$O$2:$O$1001,0),0)))</f>
        <v>0</v>
      </c>
      <c r="B49" s="4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4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4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4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4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4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4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4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4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4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OR(AND(IF(metadata!C49="",FALSE,TRUE),OR(exact(metadata!C49,"not applicable"),exact(metadata!C49,"missing: not collected"),exact(metadata!C49,"missing: not provided"),exact(metadata!C49,"missing: restricted access"))),AND(IF(metadata!C49="",FALSE,ISNUMBER(VALUE(metadata!C49))),metadata!C49&gt;0))</f>
        <v>0</v>
      </c>
      <c r="X49">
        <f>AND(IF(metadata!D49="",FALSE,TRUE),exact(metadata!D49,"weeks"))</f>
        <v>0</v>
      </c>
      <c r="Y49">
        <f>AND(IF(metadata!E49="",FALSE,TRUE),exact(metadata!E49,"urban biome"))</f>
        <v>0</v>
      </c>
      <c r="Z49">
        <f>AND(IF(metadata!F49="",FALSE,TRUE),exact(metadata!F49,"animal-associated habitat"))</f>
        <v>0</v>
      </c>
      <c r="AA49">
        <f>AND(IF(metadata!G49="",FALSE,TRUE),exact(metadata!G49,"mouse"))</f>
        <v>0</v>
      </c>
      <c r="AB49">
        <f>AND(IF(metadata!H49="",FALSE,TRUE),exact(metadata!H49,"Mus musculus"))</f>
        <v>0</v>
      </c>
      <c r="AC49">
        <f>AND(IF(metadata!I49="",FALSE,TRUE),exact(metadata!I49,"10090"))</f>
        <v>0</v>
      </c>
      <c r="AD49">
        <f>OR(AND(IF(metadata!J49="",FALSE,TRUE),OR(exact(metadata!J49,"not applicable"),exact(metadata!J49,"missing: not collected"),exact(metadata!J49,"missing: not provided"),exact(metadata!J49,"missing: restricted access"))),AND(IF(metadata!J49="",FALSE,ISNUMBER(VALUE(metadata!J49))),metadata!J49&gt;0))</f>
        <v>0</v>
      </c>
      <c r="AE49">
        <f>AND(IF(metadata!K49="",FALSE,TRUE),exact(metadata!K49,"g"))</f>
        <v>0</v>
      </c>
    </row>
    <row r="50" spans="1:31">
      <c r="A50" s="5">
        <f>IF(B50=" "," ",HYPERLINK(CONCATENATE("#metadata!",ADDRESS(INDEX($Q$2:$Q$1001,MATCH(ROWS($O$2:O50),$O$2:$O$1001,0),0),1)),INDEX($T$2:$T$1001,MATCH(ROWS($O$2:O50),$O$2:$O$1001,0),0)))</f>
        <v>0</v>
      </c>
      <c r="B50" s="4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4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4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4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4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4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4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4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4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4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OR(AND(IF(metadata!C50="",FALSE,TRUE),OR(exact(metadata!C50,"not applicable"),exact(metadata!C50,"missing: not collected"),exact(metadata!C50,"missing: not provided"),exact(metadata!C50,"missing: restricted access"))),AND(IF(metadata!C50="",FALSE,ISNUMBER(VALUE(metadata!C50))),metadata!C50&gt;0))</f>
        <v>0</v>
      </c>
      <c r="X50">
        <f>AND(IF(metadata!D50="",FALSE,TRUE),exact(metadata!D50,"weeks"))</f>
        <v>0</v>
      </c>
      <c r="Y50">
        <f>AND(IF(metadata!E50="",FALSE,TRUE),exact(metadata!E50,"urban biome"))</f>
        <v>0</v>
      </c>
      <c r="Z50">
        <f>AND(IF(metadata!F50="",FALSE,TRUE),exact(metadata!F50,"animal-associated habitat"))</f>
        <v>0</v>
      </c>
      <c r="AA50">
        <f>AND(IF(metadata!G50="",FALSE,TRUE),exact(metadata!G50,"mouse"))</f>
        <v>0</v>
      </c>
      <c r="AB50">
        <f>AND(IF(metadata!H50="",FALSE,TRUE),exact(metadata!H50,"Mus musculus"))</f>
        <v>0</v>
      </c>
      <c r="AC50">
        <f>AND(IF(metadata!I50="",FALSE,TRUE),exact(metadata!I50,"10090"))</f>
        <v>0</v>
      </c>
      <c r="AD50">
        <f>OR(AND(IF(metadata!J50="",FALSE,TRUE),OR(exact(metadata!J50,"not applicable"),exact(metadata!J50,"missing: not collected"),exact(metadata!J50,"missing: not provided"),exact(metadata!J50,"missing: restricted access"))),AND(IF(metadata!J50="",FALSE,ISNUMBER(VALUE(metadata!J50))),metadata!J50&gt;0))</f>
        <v>0</v>
      </c>
      <c r="AE50">
        <f>AND(IF(metadata!K50="",FALSE,TRUE),exact(metadata!K50,"g"))</f>
        <v>0</v>
      </c>
    </row>
    <row r="51" spans="1:31">
      <c r="A51" s="5">
        <f>IF(B51=" "," ",HYPERLINK(CONCATENATE("#metadata!",ADDRESS(INDEX($Q$2:$Q$1001,MATCH(ROWS($O$2:O51),$O$2:$O$1001,0),0),1)),INDEX($T$2:$T$1001,MATCH(ROWS($O$2:O51),$O$2:$O$1001,0),0)))</f>
        <v>0</v>
      </c>
      <c r="B51" s="4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4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4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4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4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4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4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4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4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4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OR(AND(IF(metadata!C51="",FALSE,TRUE),OR(exact(metadata!C51,"not applicable"),exact(metadata!C51,"missing: not collected"),exact(metadata!C51,"missing: not provided"),exact(metadata!C51,"missing: restricted access"))),AND(IF(metadata!C51="",FALSE,ISNUMBER(VALUE(metadata!C51))),metadata!C51&gt;0))</f>
        <v>0</v>
      </c>
      <c r="X51">
        <f>AND(IF(metadata!D51="",FALSE,TRUE),exact(metadata!D51,"weeks"))</f>
        <v>0</v>
      </c>
      <c r="Y51">
        <f>AND(IF(metadata!E51="",FALSE,TRUE),exact(metadata!E51,"urban biome"))</f>
        <v>0</v>
      </c>
      <c r="Z51">
        <f>AND(IF(metadata!F51="",FALSE,TRUE),exact(metadata!F51,"animal-associated habitat"))</f>
        <v>0</v>
      </c>
      <c r="AA51">
        <f>AND(IF(metadata!G51="",FALSE,TRUE),exact(metadata!G51,"mouse"))</f>
        <v>0</v>
      </c>
      <c r="AB51">
        <f>AND(IF(metadata!H51="",FALSE,TRUE),exact(metadata!H51,"Mus musculus"))</f>
        <v>0</v>
      </c>
      <c r="AC51">
        <f>AND(IF(metadata!I51="",FALSE,TRUE),exact(metadata!I51,"10090"))</f>
        <v>0</v>
      </c>
      <c r="AD51">
        <f>OR(AND(IF(metadata!J51="",FALSE,TRUE),OR(exact(metadata!J51,"not applicable"),exact(metadata!J51,"missing: not collected"),exact(metadata!J51,"missing: not provided"),exact(metadata!J51,"missing: restricted access"))),AND(IF(metadata!J51="",FALSE,ISNUMBER(VALUE(metadata!J51))),metadata!J51&gt;0))</f>
        <v>0</v>
      </c>
      <c r="AE51">
        <f>AND(IF(metadata!K51="",FALSE,TRUE),exact(metadata!K51,"g"))</f>
        <v>0</v>
      </c>
    </row>
    <row r="52" spans="1:31">
      <c r="A52" s="5">
        <f>IF(B52=" "," ",HYPERLINK(CONCATENATE("#metadata!",ADDRESS(INDEX($Q$2:$Q$1001,MATCH(ROWS($O$2:O52),$O$2:$O$1001,0),0),1)),INDEX($T$2:$T$1001,MATCH(ROWS($O$2:O52),$O$2:$O$1001,0),0)))</f>
        <v>0</v>
      </c>
      <c r="B52" s="4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4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4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4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4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4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4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4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4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4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OR(AND(IF(metadata!C52="",FALSE,TRUE),OR(exact(metadata!C52,"not applicable"),exact(metadata!C52,"missing: not collected"),exact(metadata!C52,"missing: not provided"),exact(metadata!C52,"missing: restricted access"))),AND(IF(metadata!C52="",FALSE,ISNUMBER(VALUE(metadata!C52))),metadata!C52&gt;0))</f>
        <v>0</v>
      </c>
      <c r="X52">
        <f>AND(IF(metadata!D52="",FALSE,TRUE),exact(metadata!D52,"weeks"))</f>
        <v>0</v>
      </c>
      <c r="Y52">
        <f>AND(IF(metadata!E52="",FALSE,TRUE),exact(metadata!E52,"urban biome"))</f>
        <v>0</v>
      </c>
      <c r="Z52">
        <f>AND(IF(metadata!F52="",FALSE,TRUE),exact(metadata!F52,"animal-associated habitat"))</f>
        <v>0</v>
      </c>
      <c r="AA52">
        <f>AND(IF(metadata!G52="",FALSE,TRUE),exact(metadata!G52,"mouse"))</f>
        <v>0</v>
      </c>
      <c r="AB52">
        <f>AND(IF(metadata!H52="",FALSE,TRUE),exact(metadata!H52,"Mus musculus"))</f>
        <v>0</v>
      </c>
      <c r="AC52">
        <f>AND(IF(metadata!I52="",FALSE,TRUE),exact(metadata!I52,"10090"))</f>
        <v>0</v>
      </c>
      <c r="AD52">
        <f>OR(AND(IF(metadata!J52="",FALSE,TRUE),OR(exact(metadata!J52,"not applicable"),exact(metadata!J52,"missing: not collected"),exact(metadata!J52,"missing: not provided"),exact(metadata!J52,"missing: restricted access"))),AND(IF(metadata!J52="",FALSE,ISNUMBER(VALUE(metadata!J52))),metadata!J52&gt;0))</f>
        <v>0</v>
      </c>
      <c r="AE52">
        <f>AND(IF(metadata!K52="",FALSE,TRUE),exact(metadata!K52,"g"))</f>
        <v>0</v>
      </c>
    </row>
    <row r="53" spans="1:31">
      <c r="A53" s="5">
        <f>IF(B53=" "," ",HYPERLINK(CONCATENATE("#metadata!",ADDRESS(INDEX($Q$2:$Q$1001,MATCH(ROWS($O$2:O53),$O$2:$O$1001,0),0),1)),INDEX($T$2:$T$1001,MATCH(ROWS($O$2:O53),$O$2:$O$1001,0),0)))</f>
        <v>0</v>
      </c>
      <c r="B53" s="4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4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4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4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4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4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4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4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4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4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OR(AND(IF(metadata!C53="",FALSE,TRUE),OR(exact(metadata!C53,"not applicable"),exact(metadata!C53,"missing: not collected"),exact(metadata!C53,"missing: not provided"),exact(metadata!C53,"missing: restricted access"))),AND(IF(metadata!C53="",FALSE,ISNUMBER(VALUE(metadata!C53))),metadata!C53&gt;0))</f>
        <v>0</v>
      </c>
      <c r="X53">
        <f>AND(IF(metadata!D53="",FALSE,TRUE),exact(metadata!D53,"weeks"))</f>
        <v>0</v>
      </c>
      <c r="Y53">
        <f>AND(IF(metadata!E53="",FALSE,TRUE),exact(metadata!E53,"urban biome"))</f>
        <v>0</v>
      </c>
      <c r="Z53">
        <f>AND(IF(metadata!F53="",FALSE,TRUE),exact(metadata!F53,"animal-associated habitat"))</f>
        <v>0</v>
      </c>
      <c r="AA53">
        <f>AND(IF(metadata!G53="",FALSE,TRUE),exact(metadata!G53,"mouse"))</f>
        <v>0</v>
      </c>
      <c r="AB53">
        <f>AND(IF(metadata!H53="",FALSE,TRUE),exact(metadata!H53,"Mus musculus"))</f>
        <v>0</v>
      </c>
      <c r="AC53">
        <f>AND(IF(metadata!I53="",FALSE,TRUE),exact(metadata!I53,"10090"))</f>
        <v>0</v>
      </c>
      <c r="AD53">
        <f>OR(AND(IF(metadata!J53="",FALSE,TRUE),OR(exact(metadata!J53,"not applicable"),exact(metadata!J53,"missing: not collected"),exact(metadata!J53,"missing: not provided"),exact(metadata!J53,"missing: restricted access"))),AND(IF(metadata!J53="",FALSE,ISNUMBER(VALUE(metadata!J53))),metadata!J53&gt;0))</f>
        <v>0</v>
      </c>
      <c r="AE53">
        <f>AND(IF(metadata!K53="",FALSE,TRUE),exact(metadata!K53,"g"))</f>
        <v>0</v>
      </c>
    </row>
    <row r="54" spans="1:31">
      <c r="A54" s="5">
        <f>IF(B54=" "," ",HYPERLINK(CONCATENATE("#metadata!",ADDRESS(INDEX($Q$2:$Q$1001,MATCH(ROWS($O$2:O54),$O$2:$O$1001,0),0),1)),INDEX($T$2:$T$1001,MATCH(ROWS($O$2:O54),$O$2:$O$1001,0),0)))</f>
        <v>0</v>
      </c>
      <c r="B54" s="4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4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4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4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4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4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4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4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4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4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OR(AND(IF(metadata!C54="",FALSE,TRUE),OR(exact(metadata!C54,"not applicable"),exact(metadata!C54,"missing: not collected"),exact(metadata!C54,"missing: not provided"),exact(metadata!C54,"missing: restricted access"))),AND(IF(metadata!C54="",FALSE,ISNUMBER(VALUE(metadata!C54))),metadata!C54&gt;0))</f>
        <v>0</v>
      </c>
      <c r="X54">
        <f>AND(IF(metadata!D54="",FALSE,TRUE),exact(metadata!D54,"weeks"))</f>
        <v>0</v>
      </c>
      <c r="Y54">
        <f>AND(IF(metadata!E54="",FALSE,TRUE),exact(metadata!E54,"urban biome"))</f>
        <v>0</v>
      </c>
      <c r="Z54">
        <f>AND(IF(metadata!F54="",FALSE,TRUE),exact(metadata!F54,"animal-associated habitat"))</f>
        <v>0</v>
      </c>
      <c r="AA54">
        <f>AND(IF(metadata!G54="",FALSE,TRUE),exact(metadata!G54,"mouse"))</f>
        <v>0</v>
      </c>
      <c r="AB54">
        <f>AND(IF(metadata!H54="",FALSE,TRUE),exact(metadata!H54,"Mus musculus"))</f>
        <v>0</v>
      </c>
      <c r="AC54">
        <f>AND(IF(metadata!I54="",FALSE,TRUE),exact(metadata!I54,"10090"))</f>
        <v>0</v>
      </c>
      <c r="AD54">
        <f>OR(AND(IF(metadata!J54="",FALSE,TRUE),OR(exact(metadata!J54,"not applicable"),exact(metadata!J54,"missing: not collected"),exact(metadata!J54,"missing: not provided"),exact(metadata!J54,"missing: restricted access"))),AND(IF(metadata!J54="",FALSE,ISNUMBER(VALUE(metadata!J54))),metadata!J54&gt;0))</f>
        <v>0</v>
      </c>
      <c r="AE54">
        <f>AND(IF(metadata!K54="",FALSE,TRUE),exact(metadata!K54,"g"))</f>
        <v>0</v>
      </c>
    </row>
    <row r="55" spans="1:31">
      <c r="A55" s="5">
        <f>IF(B55=" "," ",HYPERLINK(CONCATENATE("#metadata!",ADDRESS(INDEX($Q$2:$Q$1001,MATCH(ROWS($O$2:O55),$O$2:$O$1001,0),0),1)),INDEX($T$2:$T$1001,MATCH(ROWS($O$2:O55),$O$2:$O$1001,0),0)))</f>
        <v>0</v>
      </c>
      <c r="B55" s="4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4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4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4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4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4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4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4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4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4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OR(AND(IF(metadata!C55="",FALSE,TRUE),OR(exact(metadata!C55,"not applicable"),exact(metadata!C55,"missing: not collected"),exact(metadata!C55,"missing: not provided"),exact(metadata!C55,"missing: restricted access"))),AND(IF(metadata!C55="",FALSE,ISNUMBER(VALUE(metadata!C55))),metadata!C55&gt;0))</f>
        <v>0</v>
      </c>
      <c r="X55">
        <f>AND(IF(metadata!D55="",FALSE,TRUE),exact(metadata!D55,"weeks"))</f>
        <v>0</v>
      </c>
      <c r="Y55">
        <f>AND(IF(metadata!E55="",FALSE,TRUE),exact(metadata!E55,"urban biome"))</f>
        <v>0</v>
      </c>
      <c r="Z55">
        <f>AND(IF(metadata!F55="",FALSE,TRUE),exact(metadata!F55,"animal-associated habitat"))</f>
        <v>0</v>
      </c>
      <c r="AA55">
        <f>AND(IF(metadata!G55="",FALSE,TRUE),exact(metadata!G55,"mouse"))</f>
        <v>0</v>
      </c>
      <c r="AB55">
        <f>AND(IF(metadata!H55="",FALSE,TRUE),exact(metadata!H55,"Mus musculus"))</f>
        <v>0</v>
      </c>
      <c r="AC55">
        <f>AND(IF(metadata!I55="",FALSE,TRUE),exact(metadata!I55,"10090"))</f>
        <v>0</v>
      </c>
      <c r="AD55">
        <f>OR(AND(IF(metadata!J55="",FALSE,TRUE),OR(exact(metadata!J55,"not applicable"),exact(metadata!J55,"missing: not collected"),exact(metadata!J55,"missing: not provided"),exact(metadata!J55,"missing: restricted access"))),AND(IF(metadata!J55="",FALSE,ISNUMBER(VALUE(metadata!J55))),metadata!J55&gt;0))</f>
        <v>0</v>
      </c>
      <c r="AE55">
        <f>AND(IF(metadata!K55="",FALSE,TRUE),exact(metadata!K55,"g"))</f>
        <v>0</v>
      </c>
    </row>
    <row r="56" spans="1:31">
      <c r="A56" s="5">
        <f>IF(B56=" "," ",HYPERLINK(CONCATENATE("#metadata!",ADDRESS(INDEX($Q$2:$Q$1001,MATCH(ROWS($O$2:O56),$O$2:$O$1001,0),0),1)),INDEX($T$2:$T$1001,MATCH(ROWS($O$2:O56),$O$2:$O$1001,0),0)))</f>
        <v>0</v>
      </c>
      <c r="B56" s="4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4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4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4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4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4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4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4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4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4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OR(AND(IF(metadata!C56="",FALSE,TRUE),OR(exact(metadata!C56,"not applicable"),exact(metadata!C56,"missing: not collected"),exact(metadata!C56,"missing: not provided"),exact(metadata!C56,"missing: restricted access"))),AND(IF(metadata!C56="",FALSE,ISNUMBER(VALUE(metadata!C56))),metadata!C56&gt;0))</f>
        <v>0</v>
      </c>
      <c r="X56">
        <f>AND(IF(metadata!D56="",FALSE,TRUE),exact(metadata!D56,"weeks"))</f>
        <v>0</v>
      </c>
      <c r="Y56">
        <f>AND(IF(metadata!E56="",FALSE,TRUE),exact(metadata!E56,"urban biome"))</f>
        <v>0</v>
      </c>
      <c r="Z56">
        <f>AND(IF(metadata!F56="",FALSE,TRUE),exact(metadata!F56,"animal-associated habitat"))</f>
        <v>0</v>
      </c>
      <c r="AA56">
        <f>AND(IF(metadata!G56="",FALSE,TRUE),exact(metadata!G56,"mouse"))</f>
        <v>0</v>
      </c>
      <c r="AB56">
        <f>AND(IF(metadata!H56="",FALSE,TRUE),exact(metadata!H56,"Mus musculus"))</f>
        <v>0</v>
      </c>
      <c r="AC56">
        <f>AND(IF(metadata!I56="",FALSE,TRUE),exact(metadata!I56,"10090"))</f>
        <v>0</v>
      </c>
      <c r="AD56">
        <f>OR(AND(IF(metadata!J56="",FALSE,TRUE),OR(exact(metadata!J56,"not applicable"),exact(metadata!J56,"missing: not collected"),exact(metadata!J56,"missing: not provided"),exact(metadata!J56,"missing: restricted access"))),AND(IF(metadata!J56="",FALSE,ISNUMBER(VALUE(metadata!J56))),metadata!J56&gt;0))</f>
        <v>0</v>
      </c>
      <c r="AE56">
        <f>AND(IF(metadata!K56="",FALSE,TRUE),exact(metadata!K56,"g"))</f>
        <v>0</v>
      </c>
    </row>
    <row r="57" spans="1:31">
      <c r="A57" s="5">
        <f>IF(B57=" "," ",HYPERLINK(CONCATENATE("#metadata!",ADDRESS(INDEX($Q$2:$Q$1001,MATCH(ROWS($O$2:O57),$O$2:$O$1001,0),0),1)),INDEX($T$2:$T$1001,MATCH(ROWS($O$2:O57),$O$2:$O$1001,0),0)))</f>
        <v>0</v>
      </c>
      <c r="B57" s="4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4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4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4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4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4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4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4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4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4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OR(AND(IF(metadata!C57="",FALSE,TRUE),OR(exact(metadata!C57,"not applicable"),exact(metadata!C57,"missing: not collected"),exact(metadata!C57,"missing: not provided"),exact(metadata!C57,"missing: restricted access"))),AND(IF(metadata!C57="",FALSE,ISNUMBER(VALUE(metadata!C57))),metadata!C57&gt;0))</f>
        <v>0</v>
      </c>
      <c r="X57">
        <f>AND(IF(metadata!D57="",FALSE,TRUE),exact(metadata!D57,"weeks"))</f>
        <v>0</v>
      </c>
      <c r="Y57">
        <f>AND(IF(metadata!E57="",FALSE,TRUE),exact(metadata!E57,"urban biome"))</f>
        <v>0</v>
      </c>
      <c r="Z57">
        <f>AND(IF(metadata!F57="",FALSE,TRUE),exact(metadata!F57,"animal-associated habitat"))</f>
        <v>0</v>
      </c>
      <c r="AA57">
        <f>AND(IF(metadata!G57="",FALSE,TRUE),exact(metadata!G57,"mouse"))</f>
        <v>0</v>
      </c>
      <c r="AB57">
        <f>AND(IF(metadata!H57="",FALSE,TRUE),exact(metadata!H57,"Mus musculus"))</f>
        <v>0</v>
      </c>
      <c r="AC57">
        <f>AND(IF(metadata!I57="",FALSE,TRUE),exact(metadata!I57,"10090"))</f>
        <v>0</v>
      </c>
      <c r="AD57">
        <f>OR(AND(IF(metadata!J57="",FALSE,TRUE),OR(exact(metadata!J57,"not applicable"),exact(metadata!J57,"missing: not collected"),exact(metadata!J57,"missing: not provided"),exact(metadata!J57,"missing: restricted access"))),AND(IF(metadata!J57="",FALSE,ISNUMBER(VALUE(metadata!J57))),metadata!J57&gt;0))</f>
        <v>0</v>
      </c>
      <c r="AE57">
        <f>AND(IF(metadata!K57="",FALSE,TRUE),exact(metadata!K57,"g"))</f>
        <v>0</v>
      </c>
    </row>
    <row r="58" spans="1:31">
      <c r="A58" s="5">
        <f>IF(B58=" "," ",HYPERLINK(CONCATENATE("#metadata!",ADDRESS(INDEX($Q$2:$Q$1001,MATCH(ROWS($O$2:O58),$O$2:$O$1001,0),0),1)),INDEX($T$2:$T$1001,MATCH(ROWS($O$2:O58),$O$2:$O$1001,0),0)))</f>
        <v>0</v>
      </c>
      <c r="B58" s="4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4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4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4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4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4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4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4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4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4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OR(AND(IF(metadata!C58="",FALSE,TRUE),OR(exact(metadata!C58,"not applicable"),exact(metadata!C58,"missing: not collected"),exact(metadata!C58,"missing: not provided"),exact(metadata!C58,"missing: restricted access"))),AND(IF(metadata!C58="",FALSE,ISNUMBER(VALUE(metadata!C58))),metadata!C58&gt;0))</f>
        <v>0</v>
      </c>
      <c r="X58">
        <f>AND(IF(metadata!D58="",FALSE,TRUE),exact(metadata!D58,"weeks"))</f>
        <v>0</v>
      </c>
      <c r="Y58">
        <f>AND(IF(metadata!E58="",FALSE,TRUE),exact(metadata!E58,"urban biome"))</f>
        <v>0</v>
      </c>
      <c r="Z58">
        <f>AND(IF(metadata!F58="",FALSE,TRUE),exact(metadata!F58,"animal-associated habitat"))</f>
        <v>0</v>
      </c>
      <c r="AA58">
        <f>AND(IF(metadata!G58="",FALSE,TRUE),exact(metadata!G58,"mouse"))</f>
        <v>0</v>
      </c>
      <c r="AB58">
        <f>AND(IF(metadata!H58="",FALSE,TRUE),exact(metadata!H58,"Mus musculus"))</f>
        <v>0</v>
      </c>
      <c r="AC58">
        <f>AND(IF(metadata!I58="",FALSE,TRUE),exact(metadata!I58,"10090"))</f>
        <v>0</v>
      </c>
      <c r="AD58">
        <f>OR(AND(IF(metadata!J58="",FALSE,TRUE),OR(exact(metadata!J58,"not applicable"),exact(metadata!J58,"missing: not collected"),exact(metadata!J58,"missing: not provided"),exact(metadata!J58,"missing: restricted access"))),AND(IF(metadata!J58="",FALSE,ISNUMBER(VALUE(metadata!J58))),metadata!J58&gt;0))</f>
        <v>0</v>
      </c>
      <c r="AE58">
        <f>AND(IF(metadata!K58="",FALSE,TRUE),exact(metadata!K58,"g"))</f>
        <v>0</v>
      </c>
    </row>
    <row r="59" spans="1:31">
      <c r="A59" s="5">
        <f>IF(B59=" "," ",HYPERLINK(CONCATENATE("#metadata!",ADDRESS(INDEX($Q$2:$Q$1001,MATCH(ROWS($O$2:O59),$O$2:$O$1001,0),0),1)),INDEX($T$2:$T$1001,MATCH(ROWS($O$2:O59),$O$2:$O$1001,0),0)))</f>
        <v>0</v>
      </c>
      <c r="B59" s="4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4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4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4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4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4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4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4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4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4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OR(AND(IF(metadata!C59="",FALSE,TRUE),OR(exact(metadata!C59,"not applicable"),exact(metadata!C59,"missing: not collected"),exact(metadata!C59,"missing: not provided"),exact(metadata!C59,"missing: restricted access"))),AND(IF(metadata!C59="",FALSE,ISNUMBER(VALUE(metadata!C59))),metadata!C59&gt;0))</f>
        <v>0</v>
      </c>
      <c r="X59">
        <f>AND(IF(metadata!D59="",FALSE,TRUE),exact(metadata!D59,"weeks"))</f>
        <v>0</v>
      </c>
      <c r="Y59">
        <f>AND(IF(metadata!E59="",FALSE,TRUE),exact(metadata!E59,"urban biome"))</f>
        <v>0</v>
      </c>
      <c r="Z59">
        <f>AND(IF(metadata!F59="",FALSE,TRUE),exact(metadata!F59,"animal-associated habitat"))</f>
        <v>0</v>
      </c>
      <c r="AA59">
        <f>AND(IF(metadata!G59="",FALSE,TRUE),exact(metadata!G59,"mouse"))</f>
        <v>0</v>
      </c>
      <c r="AB59">
        <f>AND(IF(metadata!H59="",FALSE,TRUE),exact(metadata!H59,"Mus musculus"))</f>
        <v>0</v>
      </c>
      <c r="AC59">
        <f>AND(IF(metadata!I59="",FALSE,TRUE),exact(metadata!I59,"10090"))</f>
        <v>0</v>
      </c>
      <c r="AD59">
        <f>OR(AND(IF(metadata!J59="",FALSE,TRUE),OR(exact(metadata!J59,"not applicable"),exact(metadata!J59,"missing: not collected"),exact(metadata!J59,"missing: not provided"),exact(metadata!J59,"missing: restricted access"))),AND(IF(metadata!J59="",FALSE,ISNUMBER(VALUE(metadata!J59))),metadata!J59&gt;0))</f>
        <v>0</v>
      </c>
      <c r="AE59">
        <f>AND(IF(metadata!K59="",FALSE,TRUE),exact(metadata!K59,"g"))</f>
        <v>0</v>
      </c>
    </row>
    <row r="60" spans="1:31">
      <c r="A60" s="5">
        <f>IF(B60=" "," ",HYPERLINK(CONCATENATE("#metadata!",ADDRESS(INDEX($Q$2:$Q$1001,MATCH(ROWS($O$2:O60),$O$2:$O$1001,0),0),1)),INDEX($T$2:$T$1001,MATCH(ROWS($O$2:O60),$O$2:$O$1001,0),0)))</f>
        <v>0</v>
      </c>
      <c r="B60" s="4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4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4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4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4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4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4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4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4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4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OR(AND(IF(metadata!C60="",FALSE,TRUE),OR(exact(metadata!C60,"not applicable"),exact(metadata!C60,"missing: not collected"),exact(metadata!C60,"missing: not provided"),exact(metadata!C60,"missing: restricted access"))),AND(IF(metadata!C60="",FALSE,ISNUMBER(VALUE(metadata!C60))),metadata!C60&gt;0))</f>
        <v>0</v>
      </c>
      <c r="X60">
        <f>AND(IF(metadata!D60="",FALSE,TRUE),exact(metadata!D60,"weeks"))</f>
        <v>0</v>
      </c>
      <c r="Y60">
        <f>AND(IF(metadata!E60="",FALSE,TRUE),exact(metadata!E60,"urban biome"))</f>
        <v>0</v>
      </c>
      <c r="Z60">
        <f>AND(IF(metadata!F60="",FALSE,TRUE),exact(metadata!F60,"animal-associated habitat"))</f>
        <v>0</v>
      </c>
      <c r="AA60">
        <f>AND(IF(metadata!G60="",FALSE,TRUE),exact(metadata!G60,"mouse"))</f>
        <v>0</v>
      </c>
      <c r="AB60">
        <f>AND(IF(metadata!H60="",FALSE,TRUE),exact(metadata!H60,"Mus musculus"))</f>
        <v>0</v>
      </c>
      <c r="AC60">
        <f>AND(IF(metadata!I60="",FALSE,TRUE),exact(metadata!I60,"10090"))</f>
        <v>0</v>
      </c>
      <c r="AD60">
        <f>OR(AND(IF(metadata!J60="",FALSE,TRUE),OR(exact(metadata!J60,"not applicable"),exact(metadata!J60,"missing: not collected"),exact(metadata!J60,"missing: not provided"),exact(metadata!J60,"missing: restricted access"))),AND(IF(metadata!J60="",FALSE,ISNUMBER(VALUE(metadata!J60))),metadata!J60&gt;0))</f>
        <v>0</v>
      </c>
      <c r="AE60">
        <f>AND(IF(metadata!K60="",FALSE,TRUE),exact(metadata!K60,"g"))</f>
        <v>0</v>
      </c>
    </row>
    <row r="61" spans="1:31">
      <c r="A61" s="5">
        <f>IF(B61=" "," ",HYPERLINK(CONCATENATE("#metadata!",ADDRESS(INDEX($Q$2:$Q$1001,MATCH(ROWS($O$2:O61),$O$2:$O$1001,0),0),1)),INDEX($T$2:$T$1001,MATCH(ROWS($O$2:O61),$O$2:$O$1001,0),0)))</f>
        <v>0</v>
      </c>
      <c r="B61" s="4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4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4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4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4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4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4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4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4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4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OR(AND(IF(metadata!C61="",FALSE,TRUE),OR(exact(metadata!C61,"not applicable"),exact(metadata!C61,"missing: not collected"),exact(metadata!C61,"missing: not provided"),exact(metadata!C61,"missing: restricted access"))),AND(IF(metadata!C61="",FALSE,ISNUMBER(VALUE(metadata!C61))),metadata!C61&gt;0))</f>
        <v>0</v>
      </c>
      <c r="X61">
        <f>AND(IF(metadata!D61="",FALSE,TRUE),exact(metadata!D61,"weeks"))</f>
        <v>0</v>
      </c>
      <c r="Y61">
        <f>AND(IF(metadata!E61="",FALSE,TRUE),exact(metadata!E61,"urban biome"))</f>
        <v>0</v>
      </c>
      <c r="Z61">
        <f>AND(IF(metadata!F61="",FALSE,TRUE),exact(metadata!F61,"animal-associated habitat"))</f>
        <v>0</v>
      </c>
      <c r="AA61">
        <f>AND(IF(metadata!G61="",FALSE,TRUE),exact(metadata!G61,"mouse"))</f>
        <v>0</v>
      </c>
      <c r="AB61">
        <f>AND(IF(metadata!H61="",FALSE,TRUE),exact(metadata!H61,"Mus musculus"))</f>
        <v>0</v>
      </c>
      <c r="AC61">
        <f>AND(IF(metadata!I61="",FALSE,TRUE),exact(metadata!I61,"10090"))</f>
        <v>0</v>
      </c>
      <c r="AD61">
        <f>OR(AND(IF(metadata!J61="",FALSE,TRUE),OR(exact(metadata!J61,"not applicable"),exact(metadata!J61,"missing: not collected"),exact(metadata!J61,"missing: not provided"),exact(metadata!J61,"missing: restricted access"))),AND(IF(metadata!J61="",FALSE,ISNUMBER(VALUE(metadata!J61))),metadata!J61&gt;0))</f>
        <v>0</v>
      </c>
      <c r="AE61">
        <f>AND(IF(metadata!K61="",FALSE,TRUE),exact(metadata!K61,"g"))</f>
        <v>0</v>
      </c>
    </row>
    <row r="62" spans="1:31">
      <c r="A62" s="5">
        <f>IF(B62=" "," ",HYPERLINK(CONCATENATE("#metadata!",ADDRESS(INDEX($Q$2:$Q$1001,MATCH(ROWS($O$2:O62),$O$2:$O$1001,0),0),1)),INDEX($T$2:$T$1001,MATCH(ROWS($O$2:O62),$O$2:$O$1001,0),0)))</f>
        <v>0</v>
      </c>
      <c r="B62" s="4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4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4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4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4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4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4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4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4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4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OR(AND(IF(metadata!C62="",FALSE,TRUE),OR(exact(metadata!C62,"not applicable"),exact(metadata!C62,"missing: not collected"),exact(metadata!C62,"missing: not provided"),exact(metadata!C62,"missing: restricted access"))),AND(IF(metadata!C62="",FALSE,ISNUMBER(VALUE(metadata!C62))),metadata!C62&gt;0))</f>
        <v>0</v>
      </c>
      <c r="X62">
        <f>AND(IF(metadata!D62="",FALSE,TRUE),exact(metadata!D62,"weeks"))</f>
        <v>0</v>
      </c>
      <c r="Y62">
        <f>AND(IF(metadata!E62="",FALSE,TRUE),exact(metadata!E62,"urban biome"))</f>
        <v>0</v>
      </c>
      <c r="Z62">
        <f>AND(IF(metadata!F62="",FALSE,TRUE),exact(metadata!F62,"animal-associated habitat"))</f>
        <v>0</v>
      </c>
      <c r="AA62">
        <f>AND(IF(metadata!G62="",FALSE,TRUE),exact(metadata!G62,"mouse"))</f>
        <v>0</v>
      </c>
      <c r="AB62">
        <f>AND(IF(metadata!H62="",FALSE,TRUE),exact(metadata!H62,"Mus musculus"))</f>
        <v>0</v>
      </c>
      <c r="AC62">
        <f>AND(IF(metadata!I62="",FALSE,TRUE),exact(metadata!I62,"10090"))</f>
        <v>0</v>
      </c>
      <c r="AD62">
        <f>OR(AND(IF(metadata!J62="",FALSE,TRUE),OR(exact(metadata!J62,"not applicable"),exact(metadata!J62,"missing: not collected"),exact(metadata!J62,"missing: not provided"),exact(metadata!J62,"missing: restricted access"))),AND(IF(metadata!J62="",FALSE,ISNUMBER(VALUE(metadata!J62))),metadata!J62&gt;0))</f>
        <v>0</v>
      </c>
      <c r="AE62">
        <f>AND(IF(metadata!K62="",FALSE,TRUE),exact(metadata!K62,"g"))</f>
        <v>0</v>
      </c>
    </row>
    <row r="63" spans="1:31">
      <c r="A63" s="5">
        <f>IF(B63=" "," ",HYPERLINK(CONCATENATE("#metadata!",ADDRESS(INDEX($Q$2:$Q$1001,MATCH(ROWS($O$2:O63),$O$2:$O$1001,0),0),1)),INDEX($T$2:$T$1001,MATCH(ROWS($O$2:O63),$O$2:$O$1001,0),0)))</f>
        <v>0</v>
      </c>
      <c r="B63" s="4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4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4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4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4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4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4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4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4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4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OR(AND(IF(metadata!C63="",FALSE,TRUE),OR(exact(metadata!C63,"not applicable"),exact(metadata!C63,"missing: not collected"),exact(metadata!C63,"missing: not provided"),exact(metadata!C63,"missing: restricted access"))),AND(IF(metadata!C63="",FALSE,ISNUMBER(VALUE(metadata!C63))),metadata!C63&gt;0))</f>
        <v>0</v>
      </c>
      <c r="X63">
        <f>AND(IF(metadata!D63="",FALSE,TRUE),exact(metadata!D63,"weeks"))</f>
        <v>0</v>
      </c>
      <c r="Y63">
        <f>AND(IF(metadata!E63="",FALSE,TRUE),exact(metadata!E63,"urban biome"))</f>
        <v>0</v>
      </c>
      <c r="Z63">
        <f>AND(IF(metadata!F63="",FALSE,TRUE),exact(metadata!F63,"animal-associated habitat"))</f>
        <v>0</v>
      </c>
      <c r="AA63">
        <f>AND(IF(metadata!G63="",FALSE,TRUE),exact(metadata!G63,"mouse"))</f>
        <v>0</v>
      </c>
      <c r="AB63">
        <f>AND(IF(metadata!H63="",FALSE,TRUE),exact(metadata!H63,"Mus musculus"))</f>
        <v>0</v>
      </c>
      <c r="AC63">
        <f>AND(IF(metadata!I63="",FALSE,TRUE),exact(metadata!I63,"10090"))</f>
        <v>0</v>
      </c>
      <c r="AD63">
        <f>OR(AND(IF(metadata!J63="",FALSE,TRUE),OR(exact(metadata!J63,"not applicable"),exact(metadata!J63,"missing: not collected"),exact(metadata!J63,"missing: not provided"),exact(metadata!J63,"missing: restricted access"))),AND(IF(metadata!J63="",FALSE,ISNUMBER(VALUE(metadata!J63))),metadata!J63&gt;0))</f>
        <v>0</v>
      </c>
      <c r="AE63">
        <f>AND(IF(metadata!K63="",FALSE,TRUE),exact(metadata!K63,"g"))</f>
        <v>0</v>
      </c>
    </row>
    <row r="64" spans="1:31">
      <c r="A64" s="5">
        <f>IF(B64=" "," ",HYPERLINK(CONCATENATE("#metadata!",ADDRESS(INDEX($Q$2:$Q$1001,MATCH(ROWS($O$2:O64),$O$2:$O$1001,0),0),1)),INDEX($T$2:$T$1001,MATCH(ROWS($O$2:O64),$O$2:$O$1001,0),0)))</f>
        <v>0</v>
      </c>
      <c r="B64" s="4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4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4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4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4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4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4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4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4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4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OR(AND(IF(metadata!C64="",FALSE,TRUE),OR(exact(metadata!C64,"not applicable"),exact(metadata!C64,"missing: not collected"),exact(metadata!C64,"missing: not provided"),exact(metadata!C64,"missing: restricted access"))),AND(IF(metadata!C64="",FALSE,ISNUMBER(VALUE(metadata!C64))),metadata!C64&gt;0))</f>
        <v>0</v>
      </c>
      <c r="X64">
        <f>AND(IF(metadata!D64="",FALSE,TRUE),exact(metadata!D64,"weeks"))</f>
        <v>0</v>
      </c>
      <c r="Y64">
        <f>AND(IF(metadata!E64="",FALSE,TRUE),exact(metadata!E64,"urban biome"))</f>
        <v>0</v>
      </c>
      <c r="Z64">
        <f>AND(IF(metadata!F64="",FALSE,TRUE),exact(metadata!F64,"animal-associated habitat"))</f>
        <v>0</v>
      </c>
      <c r="AA64">
        <f>AND(IF(metadata!G64="",FALSE,TRUE),exact(metadata!G64,"mouse"))</f>
        <v>0</v>
      </c>
      <c r="AB64">
        <f>AND(IF(metadata!H64="",FALSE,TRUE),exact(metadata!H64,"Mus musculus"))</f>
        <v>0</v>
      </c>
      <c r="AC64">
        <f>AND(IF(metadata!I64="",FALSE,TRUE),exact(metadata!I64,"10090"))</f>
        <v>0</v>
      </c>
      <c r="AD64">
        <f>OR(AND(IF(metadata!J64="",FALSE,TRUE),OR(exact(metadata!J64,"not applicable"),exact(metadata!J64,"missing: not collected"),exact(metadata!J64,"missing: not provided"),exact(metadata!J64,"missing: restricted access"))),AND(IF(metadata!J64="",FALSE,ISNUMBER(VALUE(metadata!J64))),metadata!J64&gt;0))</f>
        <v>0</v>
      </c>
      <c r="AE64">
        <f>AND(IF(metadata!K64="",FALSE,TRUE),exact(metadata!K64,"g"))</f>
        <v>0</v>
      </c>
    </row>
    <row r="65" spans="1:31">
      <c r="A65" s="5">
        <f>IF(B65=" "," ",HYPERLINK(CONCATENATE("#metadata!",ADDRESS(INDEX($Q$2:$Q$1001,MATCH(ROWS($O$2:O65),$O$2:$O$1001,0),0),1)),INDEX($T$2:$T$1001,MATCH(ROWS($O$2:O65),$O$2:$O$1001,0),0)))</f>
        <v>0</v>
      </c>
      <c r="B65" s="4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4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4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4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4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4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4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4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4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4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OR(AND(IF(metadata!C65="",FALSE,TRUE),OR(exact(metadata!C65,"not applicable"),exact(metadata!C65,"missing: not collected"),exact(metadata!C65,"missing: not provided"),exact(metadata!C65,"missing: restricted access"))),AND(IF(metadata!C65="",FALSE,ISNUMBER(VALUE(metadata!C65))),metadata!C65&gt;0))</f>
        <v>0</v>
      </c>
      <c r="X65">
        <f>AND(IF(metadata!D65="",FALSE,TRUE),exact(metadata!D65,"weeks"))</f>
        <v>0</v>
      </c>
      <c r="Y65">
        <f>AND(IF(metadata!E65="",FALSE,TRUE),exact(metadata!E65,"urban biome"))</f>
        <v>0</v>
      </c>
      <c r="Z65">
        <f>AND(IF(metadata!F65="",FALSE,TRUE),exact(metadata!F65,"animal-associated habitat"))</f>
        <v>0</v>
      </c>
      <c r="AA65">
        <f>AND(IF(metadata!G65="",FALSE,TRUE),exact(metadata!G65,"mouse"))</f>
        <v>0</v>
      </c>
      <c r="AB65">
        <f>AND(IF(metadata!H65="",FALSE,TRUE),exact(metadata!H65,"Mus musculus"))</f>
        <v>0</v>
      </c>
      <c r="AC65">
        <f>AND(IF(metadata!I65="",FALSE,TRUE),exact(metadata!I65,"10090"))</f>
        <v>0</v>
      </c>
      <c r="AD65">
        <f>OR(AND(IF(metadata!J65="",FALSE,TRUE),OR(exact(metadata!J65,"not applicable"),exact(metadata!J65,"missing: not collected"),exact(metadata!J65,"missing: not provided"),exact(metadata!J65,"missing: restricted access"))),AND(IF(metadata!J65="",FALSE,ISNUMBER(VALUE(metadata!J65))),metadata!J65&gt;0))</f>
        <v>0</v>
      </c>
      <c r="AE65">
        <f>AND(IF(metadata!K65="",FALSE,TRUE),exact(metadata!K65,"g"))</f>
        <v>0</v>
      </c>
    </row>
    <row r="66" spans="1:31">
      <c r="A66" s="5">
        <f>IF(B66=" "," ",HYPERLINK(CONCATENATE("#metadata!",ADDRESS(INDEX($Q$2:$Q$1001,MATCH(ROWS($O$2:O66),$O$2:$O$1001,0),0),1)),INDEX($T$2:$T$1001,MATCH(ROWS($O$2:O66),$O$2:$O$1001,0),0)))</f>
        <v>0</v>
      </c>
      <c r="B66" s="4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4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4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4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4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4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4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4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4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4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OR(AND(IF(metadata!C66="",FALSE,TRUE),OR(exact(metadata!C66,"not applicable"),exact(metadata!C66,"missing: not collected"),exact(metadata!C66,"missing: not provided"),exact(metadata!C66,"missing: restricted access"))),AND(IF(metadata!C66="",FALSE,ISNUMBER(VALUE(metadata!C66))),metadata!C66&gt;0))</f>
        <v>0</v>
      </c>
      <c r="X66">
        <f>AND(IF(metadata!D66="",FALSE,TRUE),exact(metadata!D66,"weeks"))</f>
        <v>0</v>
      </c>
      <c r="Y66">
        <f>AND(IF(metadata!E66="",FALSE,TRUE),exact(metadata!E66,"urban biome"))</f>
        <v>0</v>
      </c>
      <c r="Z66">
        <f>AND(IF(metadata!F66="",FALSE,TRUE),exact(metadata!F66,"animal-associated habitat"))</f>
        <v>0</v>
      </c>
      <c r="AA66">
        <f>AND(IF(metadata!G66="",FALSE,TRUE),exact(metadata!G66,"mouse"))</f>
        <v>0</v>
      </c>
      <c r="AB66">
        <f>AND(IF(metadata!H66="",FALSE,TRUE),exact(metadata!H66,"Mus musculus"))</f>
        <v>0</v>
      </c>
      <c r="AC66">
        <f>AND(IF(metadata!I66="",FALSE,TRUE),exact(metadata!I66,"10090"))</f>
        <v>0</v>
      </c>
      <c r="AD66">
        <f>OR(AND(IF(metadata!J66="",FALSE,TRUE),OR(exact(metadata!J66,"not applicable"),exact(metadata!J66,"missing: not collected"),exact(metadata!J66,"missing: not provided"),exact(metadata!J66,"missing: restricted access"))),AND(IF(metadata!J66="",FALSE,ISNUMBER(VALUE(metadata!J66))),metadata!J66&gt;0))</f>
        <v>0</v>
      </c>
      <c r="AE66">
        <f>AND(IF(metadata!K66="",FALSE,TRUE),exact(metadata!K66,"g"))</f>
        <v>0</v>
      </c>
    </row>
    <row r="67" spans="1:31">
      <c r="A67" s="5">
        <f>IF(B67=" "," ",HYPERLINK(CONCATENATE("#metadata!",ADDRESS(INDEX($Q$2:$Q$1001,MATCH(ROWS($O$2:O67),$O$2:$O$1001,0),0),1)),INDEX($T$2:$T$1001,MATCH(ROWS($O$2:O67),$O$2:$O$1001,0),0)))</f>
        <v>0</v>
      </c>
      <c r="B67" s="4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4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4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4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4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4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4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4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4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4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OR(AND(IF(metadata!C67="",FALSE,TRUE),OR(exact(metadata!C67,"not applicable"),exact(metadata!C67,"missing: not collected"),exact(metadata!C67,"missing: not provided"),exact(metadata!C67,"missing: restricted access"))),AND(IF(metadata!C67="",FALSE,ISNUMBER(VALUE(metadata!C67))),metadata!C67&gt;0))</f>
        <v>0</v>
      </c>
      <c r="X67">
        <f>AND(IF(metadata!D67="",FALSE,TRUE),exact(metadata!D67,"weeks"))</f>
        <v>0</v>
      </c>
      <c r="Y67">
        <f>AND(IF(metadata!E67="",FALSE,TRUE),exact(metadata!E67,"urban biome"))</f>
        <v>0</v>
      </c>
      <c r="Z67">
        <f>AND(IF(metadata!F67="",FALSE,TRUE),exact(metadata!F67,"animal-associated habitat"))</f>
        <v>0</v>
      </c>
      <c r="AA67">
        <f>AND(IF(metadata!G67="",FALSE,TRUE),exact(metadata!G67,"mouse"))</f>
        <v>0</v>
      </c>
      <c r="AB67">
        <f>AND(IF(metadata!H67="",FALSE,TRUE),exact(metadata!H67,"Mus musculus"))</f>
        <v>0</v>
      </c>
      <c r="AC67">
        <f>AND(IF(metadata!I67="",FALSE,TRUE),exact(metadata!I67,"10090"))</f>
        <v>0</v>
      </c>
      <c r="AD67">
        <f>OR(AND(IF(metadata!J67="",FALSE,TRUE),OR(exact(metadata!J67,"not applicable"),exact(metadata!J67,"missing: not collected"),exact(metadata!J67,"missing: not provided"),exact(metadata!J67,"missing: restricted access"))),AND(IF(metadata!J67="",FALSE,ISNUMBER(VALUE(metadata!J67))),metadata!J67&gt;0))</f>
        <v>0</v>
      </c>
      <c r="AE67">
        <f>AND(IF(metadata!K67="",FALSE,TRUE),exact(metadata!K67,"g"))</f>
        <v>0</v>
      </c>
    </row>
    <row r="68" spans="1:31">
      <c r="A68" s="5">
        <f>IF(B68=" "," ",HYPERLINK(CONCATENATE("#metadata!",ADDRESS(INDEX($Q$2:$Q$1001,MATCH(ROWS($O$2:O68),$O$2:$O$1001,0),0),1)),INDEX($T$2:$T$1001,MATCH(ROWS($O$2:O68),$O$2:$O$1001,0),0)))</f>
        <v>0</v>
      </c>
      <c r="B68" s="4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4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4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4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4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4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4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4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4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4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OR(AND(IF(metadata!C68="",FALSE,TRUE),OR(exact(metadata!C68,"not applicable"),exact(metadata!C68,"missing: not collected"),exact(metadata!C68,"missing: not provided"),exact(metadata!C68,"missing: restricted access"))),AND(IF(metadata!C68="",FALSE,ISNUMBER(VALUE(metadata!C68))),metadata!C68&gt;0))</f>
        <v>0</v>
      </c>
      <c r="X68">
        <f>AND(IF(metadata!D68="",FALSE,TRUE),exact(metadata!D68,"weeks"))</f>
        <v>0</v>
      </c>
      <c r="Y68">
        <f>AND(IF(metadata!E68="",FALSE,TRUE),exact(metadata!E68,"urban biome"))</f>
        <v>0</v>
      </c>
      <c r="Z68">
        <f>AND(IF(metadata!F68="",FALSE,TRUE),exact(metadata!F68,"animal-associated habitat"))</f>
        <v>0</v>
      </c>
      <c r="AA68">
        <f>AND(IF(metadata!G68="",FALSE,TRUE),exact(metadata!G68,"mouse"))</f>
        <v>0</v>
      </c>
      <c r="AB68">
        <f>AND(IF(metadata!H68="",FALSE,TRUE),exact(metadata!H68,"Mus musculus"))</f>
        <v>0</v>
      </c>
      <c r="AC68">
        <f>AND(IF(metadata!I68="",FALSE,TRUE),exact(metadata!I68,"10090"))</f>
        <v>0</v>
      </c>
      <c r="AD68">
        <f>OR(AND(IF(metadata!J68="",FALSE,TRUE),OR(exact(metadata!J68,"not applicable"),exact(metadata!J68,"missing: not collected"),exact(metadata!J68,"missing: not provided"),exact(metadata!J68,"missing: restricted access"))),AND(IF(metadata!J68="",FALSE,ISNUMBER(VALUE(metadata!J68))),metadata!J68&gt;0))</f>
        <v>0</v>
      </c>
      <c r="AE68">
        <f>AND(IF(metadata!K68="",FALSE,TRUE),exact(metadata!K68,"g"))</f>
        <v>0</v>
      </c>
    </row>
    <row r="69" spans="1:31">
      <c r="A69" s="5">
        <f>IF(B69=" "," ",HYPERLINK(CONCATENATE("#metadata!",ADDRESS(INDEX($Q$2:$Q$1001,MATCH(ROWS($O$2:O69),$O$2:$O$1001,0),0),1)),INDEX($T$2:$T$1001,MATCH(ROWS($O$2:O69),$O$2:$O$1001,0),0)))</f>
        <v>0</v>
      </c>
      <c r="B69" s="4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4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4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4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4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4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4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4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4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4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OR(AND(IF(metadata!C69="",FALSE,TRUE),OR(exact(metadata!C69,"not applicable"),exact(metadata!C69,"missing: not collected"),exact(metadata!C69,"missing: not provided"),exact(metadata!C69,"missing: restricted access"))),AND(IF(metadata!C69="",FALSE,ISNUMBER(VALUE(metadata!C69))),metadata!C69&gt;0))</f>
        <v>0</v>
      </c>
      <c r="X69">
        <f>AND(IF(metadata!D69="",FALSE,TRUE),exact(metadata!D69,"weeks"))</f>
        <v>0</v>
      </c>
      <c r="Y69">
        <f>AND(IF(metadata!E69="",FALSE,TRUE),exact(metadata!E69,"urban biome"))</f>
        <v>0</v>
      </c>
      <c r="Z69">
        <f>AND(IF(metadata!F69="",FALSE,TRUE),exact(metadata!F69,"animal-associated habitat"))</f>
        <v>0</v>
      </c>
      <c r="AA69">
        <f>AND(IF(metadata!G69="",FALSE,TRUE),exact(metadata!G69,"mouse"))</f>
        <v>0</v>
      </c>
      <c r="AB69">
        <f>AND(IF(metadata!H69="",FALSE,TRUE),exact(metadata!H69,"Mus musculus"))</f>
        <v>0</v>
      </c>
      <c r="AC69">
        <f>AND(IF(metadata!I69="",FALSE,TRUE),exact(metadata!I69,"10090"))</f>
        <v>0</v>
      </c>
      <c r="AD69">
        <f>OR(AND(IF(metadata!J69="",FALSE,TRUE),OR(exact(metadata!J69,"not applicable"),exact(metadata!J69,"missing: not collected"),exact(metadata!J69,"missing: not provided"),exact(metadata!J69,"missing: restricted access"))),AND(IF(metadata!J69="",FALSE,ISNUMBER(VALUE(metadata!J69))),metadata!J69&gt;0))</f>
        <v>0</v>
      </c>
      <c r="AE69">
        <f>AND(IF(metadata!K69="",FALSE,TRUE),exact(metadata!K69,"g"))</f>
        <v>0</v>
      </c>
    </row>
    <row r="70" spans="1:31">
      <c r="A70" s="5">
        <f>IF(B70=" "," ",HYPERLINK(CONCATENATE("#metadata!",ADDRESS(INDEX($Q$2:$Q$1001,MATCH(ROWS($O$2:O70),$O$2:$O$1001,0),0),1)),INDEX($T$2:$T$1001,MATCH(ROWS($O$2:O70),$O$2:$O$1001,0),0)))</f>
        <v>0</v>
      </c>
      <c r="B70" s="4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4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4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4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4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4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4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4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4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4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OR(AND(IF(metadata!C70="",FALSE,TRUE),OR(exact(metadata!C70,"not applicable"),exact(metadata!C70,"missing: not collected"),exact(metadata!C70,"missing: not provided"),exact(metadata!C70,"missing: restricted access"))),AND(IF(metadata!C70="",FALSE,ISNUMBER(VALUE(metadata!C70))),metadata!C70&gt;0))</f>
        <v>0</v>
      </c>
      <c r="X70">
        <f>AND(IF(metadata!D70="",FALSE,TRUE),exact(metadata!D70,"weeks"))</f>
        <v>0</v>
      </c>
      <c r="Y70">
        <f>AND(IF(metadata!E70="",FALSE,TRUE),exact(metadata!E70,"urban biome"))</f>
        <v>0</v>
      </c>
      <c r="Z70">
        <f>AND(IF(metadata!F70="",FALSE,TRUE),exact(metadata!F70,"animal-associated habitat"))</f>
        <v>0</v>
      </c>
      <c r="AA70">
        <f>AND(IF(metadata!G70="",FALSE,TRUE),exact(metadata!G70,"mouse"))</f>
        <v>0</v>
      </c>
      <c r="AB70">
        <f>AND(IF(metadata!H70="",FALSE,TRUE),exact(metadata!H70,"Mus musculus"))</f>
        <v>0</v>
      </c>
      <c r="AC70">
        <f>AND(IF(metadata!I70="",FALSE,TRUE),exact(metadata!I70,"10090"))</f>
        <v>0</v>
      </c>
      <c r="AD70">
        <f>OR(AND(IF(metadata!J70="",FALSE,TRUE),OR(exact(metadata!J70,"not applicable"),exact(metadata!J70,"missing: not collected"),exact(metadata!J70,"missing: not provided"),exact(metadata!J70,"missing: restricted access"))),AND(IF(metadata!J70="",FALSE,ISNUMBER(VALUE(metadata!J70))),metadata!J70&gt;0))</f>
        <v>0</v>
      </c>
      <c r="AE70">
        <f>AND(IF(metadata!K70="",FALSE,TRUE),exact(metadata!K70,"g"))</f>
        <v>0</v>
      </c>
    </row>
    <row r="71" spans="1:31">
      <c r="A71" s="5">
        <f>IF(B71=" "," ",HYPERLINK(CONCATENATE("#metadata!",ADDRESS(INDEX($Q$2:$Q$1001,MATCH(ROWS($O$2:O71),$O$2:$O$1001,0),0),1)),INDEX($T$2:$T$1001,MATCH(ROWS($O$2:O71),$O$2:$O$1001,0),0)))</f>
        <v>0</v>
      </c>
      <c r="B71" s="4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4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4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4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4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4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4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4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4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4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OR(AND(IF(metadata!C71="",FALSE,TRUE),OR(exact(metadata!C71,"not applicable"),exact(metadata!C71,"missing: not collected"),exact(metadata!C71,"missing: not provided"),exact(metadata!C71,"missing: restricted access"))),AND(IF(metadata!C71="",FALSE,ISNUMBER(VALUE(metadata!C71))),metadata!C71&gt;0))</f>
        <v>0</v>
      </c>
      <c r="X71">
        <f>AND(IF(metadata!D71="",FALSE,TRUE),exact(metadata!D71,"weeks"))</f>
        <v>0</v>
      </c>
      <c r="Y71">
        <f>AND(IF(metadata!E71="",FALSE,TRUE),exact(metadata!E71,"urban biome"))</f>
        <v>0</v>
      </c>
      <c r="Z71">
        <f>AND(IF(metadata!F71="",FALSE,TRUE),exact(metadata!F71,"animal-associated habitat"))</f>
        <v>0</v>
      </c>
      <c r="AA71">
        <f>AND(IF(metadata!G71="",FALSE,TRUE),exact(metadata!G71,"mouse"))</f>
        <v>0</v>
      </c>
      <c r="AB71">
        <f>AND(IF(metadata!H71="",FALSE,TRUE),exact(metadata!H71,"Mus musculus"))</f>
        <v>0</v>
      </c>
      <c r="AC71">
        <f>AND(IF(metadata!I71="",FALSE,TRUE),exact(metadata!I71,"10090"))</f>
        <v>0</v>
      </c>
      <c r="AD71">
        <f>OR(AND(IF(metadata!J71="",FALSE,TRUE),OR(exact(metadata!J71,"not applicable"),exact(metadata!J71,"missing: not collected"),exact(metadata!J71,"missing: not provided"),exact(metadata!J71,"missing: restricted access"))),AND(IF(metadata!J71="",FALSE,ISNUMBER(VALUE(metadata!J71))),metadata!J71&gt;0))</f>
        <v>0</v>
      </c>
      <c r="AE71">
        <f>AND(IF(metadata!K71="",FALSE,TRUE),exact(metadata!K71,"g"))</f>
        <v>0</v>
      </c>
    </row>
    <row r="72" spans="1:31">
      <c r="A72" s="5">
        <f>IF(B72=" "," ",HYPERLINK(CONCATENATE("#metadata!",ADDRESS(INDEX($Q$2:$Q$1001,MATCH(ROWS($O$2:O72),$O$2:$O$1001,0),0),1)),INDEX($T$2:$T$1001,MATCH(ROWS($O$2:O72),$O$2:$O$1001,0),0)))</f>
        <v>0</v>
      </c>
      <c r="B72" s="4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4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4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4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4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4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4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4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4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4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OR(AND(IF(metadata!C72="",FALSE,TRUE),OR(exact(metadata!C72,"not applicable"),exact(metadata!C72,"missing: not collected"),exact(metadata!C72,"missing: not provided"),exact(metadata!C72,"missing: restricted access"))),AND(IF(metadata!C72="",FALSE,ISNUMBER(VALUE(metadata!C72))),metadata!C72&gt;0))</f>
        <v>0</v>
      </c>
      <c r="X72">
        <f>AND(IF(metadata!D72="",FALSE,TRUE),exact(metadata!D72,"weeks"))</f>
        <v>0</v>
      </c>
      <c r="Y72">
        <f>AND(IF(metadata!E72="",FALSE,TRUE),exact(metadata!E72,"urban biome"))</f>
        <v>0</v>
      </c>
      <c r="Z72">
        <f>AND(IF(metadata!F72="",FALSE,TRUE),exact(metadata!F72,"animal-associated habitat"))</f>
        <v>0</v>
      </c>
      <c r="AA72">
        <f>AND(IF(metadata!G72="",FALSE,TRUE),exact(metadata!G72,"mouse"))</f>
        <v>0</v>
      </c>
      <c r="AB72">
        <f>AND(IF(metadata!H72="",FALSE,TRUE),exact(metadata!H72,"Mus musculus"))</f>
        <v>0</v>
      </c>
      <c r="AC72">
        <f>AND(IF(metadata!I72="",FALSE,TRUE),exact(metadata!I72,"10090"))</f>
        <v>0</v>
      </c>
      <c r="AD72">
        <f>OR(AND(IF(metadata!J72="",FALSE,TRUE),OR(exact(metadata!J72,"not applicable"),exact(metadata!J72,"missing: not collected"),exact(metadata!J72,"missing: not provided"),exact(metadata!J72,"missing: restricted access"))),AND(IF(metadata!J72="",FALSE,ISNUMBER(VALUE(metadata!J72))),metadata!J72&gt;0))</f>
        <v>0</v>
      </c>
      <c r="AE72">
        <f>AND(IF(metadata!K72="",FALSE,TRUE),exact(metadata!K72,"g"))</f>
        <v>0</v>
      </c>
    </row>
    <row r="73" spans="1:31">
      <c r="A73" s="5">
        <f>IF(B73=" "," ",HYPERLINK(CONCATENATE("#metadata!",ADDRESS(INDEX($Q$2:$Q$1001,MATCH(ROWS($O$2:O73),$O$2:$O$1001,0),0),1)),INDEX($T$2:$T$1001,MATCH(ROWS($O$2:O73),$O$2:$O$1001,0),0)))</f>
        <v>0</v>
      </c>
      <c r="B73" s="4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4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4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4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4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4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4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4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4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4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OR(AND(IF(metadata!C73="",FALSE,TRUE),OR(exact(metadata!C73,"not applicable"),exact(metadata!C73,"missing: not collected"),exact(metadata!C73,"missing: not provided"),exact(metadata!C73,"missing: restricted access"))),AND(IF(metadata!C73="",FALSE,ISNUMBER(VALUE(metadata!C73))),metadata!C73&gt;0))</f>
        <v>0</v>
      </c>
      <c r="X73">
        <f>AND(IF(metadata!D73="",FALSE,TRUE),exact(metadata!D73,"weeks"))</f>
        <v>0</v>
      </c>
      <c r="Y73">
        <f>AND(IF(metadata!E73="",FALSE,TRUE),exact(metadata!E73,"urban biome"))</f>
        <v>0</v>
      </c>
      <c r="Z73">
        <f>AND(IF(metadata!F73="",FALSE,TRUE),exact(metadata!F73,"animal-associated habitat"))</f>
        <v>0</v>
      </c>
      <c r="AA73">
        <f>AND(IF(metadata!G73="",FALSE,TRUE),exact(metadata!G73,"mouse"))</f>
        <v>0</v>
      </c>
      <c r="AB73">
        <f>AND(IF(metadata!H73="",FALSE,TRUE),exact(metadata!H73,"Mus musculus"))</f>
        <v>0</v>
      </c>
      <c r="AC73">
        <f>AND(IF(metadata!I73="",FALSE,TRUE),exact(metadata!I73,"10090"))</f>
        <v>0</v>
      </c>
      <c r="AD73">
        <f>OR(AND(IF(metadata!J73="",FALSE,TRUE),OR(exact(metadata!J73,"not applicable"),exact(metadata!J73,"missing: not collected"),exact(metadata!J73,"missing: not provided"),exact(metadata!J73,"missing: restricted access"))),AND(IF(metadata!J73="",FALSE,ISNUMBER(VALUE(metadata!J73))),metadata!J73&gt;0))</f>
        <v>0</v>
      </c>
      <c r="AE73">
        <f>AND(IF(metadata!K73="",FALSE,TRUE),exact(metadata!K73,"g"))</f>
        <v>0</v>
      </c>
    </row>
    <row r="74" spans="1:31">
      <c r="A74" s="5">
        <f>IF(B74=" "," ",HYPERLINK(CONCATENATE("#metadata!",ADDRESS(INDEX($Q$2:$Q$1001,MATCH(ROWS($O$2:O74),$O$2:$O$1001,0),0),1)),INDEX($T$2:$T$1001,MATCH(ROWS($O$2:O74),$O$2:$O$1001,0),0)))</f>
        <v>0</v>
      </c>
      <c r="B74" s="4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4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4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4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4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4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4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4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4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4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OR(AND(IF(metadata!C74="",FALSE,TRUE),OR(exact(metadata!C74,"not applicable"),exact(metadata!C74,"missing: not collected"),exact(metadata!C74,"missing: not provided"),exact(metadata!C74,"missing: restricted access"))),AND(IF(metadata!C74="",FALSE,ISNUMBER(VALUE(metadata!C74))),metadata!C74&gt;0))</f>
        <v>0</v>
      </c>
      <c r="X74">
        <f>AND(IF(metadata!D74="",FALSE,TRUE),exact(metadata!D74,"weeks"))</f>
        <v>0</v>
      </c>
      <c r="Y74">
        <f>AND(IF(metadata!E74="",FALSE,TRUE),exact(metadata!E74,"urban biome"))</f>
        <v>0</v>
      </c>
      <c r="Z74">
        <f>AND(IF(metadata!F74="",FALSE,TRUE),exact(metadata!F74,"animal-associated habitat"))</f>
        <v>0</v>
      </c>
      <c r="AA74">
        <f>AND(IF(metadata!G74="",FALSE,TRUE),exact(metadata!G74,"mouse"))</f>
        <v>0</v>
      </c>
      <c r="AB74">
        <f>AND(IF(metadata!H74="",FALSE,TRUE),exact(metadata!H74,"Mus musculus"))</f>
        <v>0</v>
      </c>
      <c r="AC74">
        <f>AND(IF(metadata!I74="",FALSE,TRUE),exact(metadata!I74,"10090"))</f>
        <v>0</v>
      </c>
      <c r="AD74">
        <f>OR(AND(IF(metadata!J74="",FALSE,TRUE),OR(exact(metadata!J74,"not applicable"),exact(metadata!J74,"missing: not collected"),exact(metadata!J74,"missing: not provided"),exact(metadata!J74,"missing: restricted access"))),AND(IF(metadata!J74="",FALSE,ISNUMBER(VALUE(metadata!J74))),metadata!J74&gt;0))</f>
        <v>0</v>
      </c>
      <c r="AE74">
        <f>AND(IF(metadata!K74="",FALSE,TRUE),exact(metadata!K74,"g"))</f>
        <v>0</v>
      </c>
    </row>
    <row r="75" spans="1:31">
      <c r="A75" s="5">
        <f>IF(B75=" "," ",HYPERLINK(CONCATENATE("#metadata!",ADDRESS(INDEX($Q$2:$Q$1001,MATCH(ROWS($O$2:O75),$O$2:$O$1001,0),0),1)),INDEX($T$2:$T$1001,MATCH(ROWS($O$2:O75),$O$2:$O$1001,0),0)))</f>
        <v>0</v>
      </c>
      <c r="B75" s="4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4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4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4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4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4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4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4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4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4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OR(AND(IF(metadata!C75="",FALSE,TRUE),OR(exact(metadata!C75,"not applicable"),exact(metadata!C75,"missing: not collected"),exact(metadata!C75,"missing: not provided"),exact(metadata!C75,"missing: restricted access"))),AND(IF(metadata!C75="",FALSE,ISNUMBER(VALUE(metadata!C75))),metadata!C75&gt;0))</f>
        <v>0</v>
      </c>
      <c r="X75">
        <f>AND(IF(metadata!D75="",FALSE,TRUE),exact(metadata!D75,"weeks"))</f>
        <v>0</v>
      </c>
      <c r="Y75">
        <f>AND(IF(metadata!E75="",FALSE,TRUE),exact(metadata!E75,"urban biome"))</f>
        <v>0</v>
      </c>
      <c r="Z75">
        <f>AND(IF(metadata!F75="",FALSE,TRUE),exact(metadata!F75,"animal-associated habitat"))</f>
        <v>0</v>
      </c>
      <c r="AA75">
        <f>AND(IF(metadata!G75="",FALSE,TRUE),exact(metadata!G75,"mouse"))</f>
        <v>0</v>
      </c>
      <c r="AB75">
        <f>AND(IF(metadata!H75="",FALSE,TRUE),exact(metadata!H75,"Mus musculus"))</f>
        <v>0</v>
      </c>
      <c r="AC75">
        <f>AND(IF(metadata!I75="",FALSE,TRUE),exact(metadata!I75,"10090"))</f>
        <v>0</v>
      </c>
      <c r="AD75">
        <f>OR(AND(IF(metadata!J75="",FALSE,TRUE),OR(exact(metadata!J75,"not applicable"),exact(metadata!J75,"missing: not collected"),exact(metadata!J75,"missing: not provided"),exact(metadata!J75,"missing: restricted access"))),AND(IF(metadata!J75="",FALSE,ISNUMBER(VALUE(metadata!J75))),metadata!J75&gt;0))</f>
        <v>0</v>
      </c>
      <c r="AE75">
        <f>AND(IF(metadata!K75="",FALSE,TRUE),exact(metadata!K75,"g"))</f>
        <v>0</v>
      </c>
    </row>
    <row r="76" spans="1:31">
      <c r="A76" s="5">
        <f>IF(B76=" "," ",HYPERLINK(CONCATENATE("#metadata!",ADDRESS(INDEX($Q$2:$Q$1001,MATCH(ROWS($O$2:O76),$O$2:$O$1001,0),0),1)),INDEX($T$2:$T$1001,MATCH(ROWS($O$2:O76),$O$2:$O$1001,0),0)))</f>
        <v>0</v>
      </c>
      <c r="B76" s="4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4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4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4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4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4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4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4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4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4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OR(AND(IF(metadata!C76="",FALSE,TRUE),OR(exact(metadata!C76,"not applicable"),exact(metadata!C76,"missing: not collected"),exact(metadata!C76,"missing: not provided"),exact(metadata!C76,"missing: restricted access"))),AND(IF(metadata!C76="",FALSE,ISNUMBER(VALUE(metadata!C76))),metadata!C76&gt;0))</f>
        <v>0</v>
      </c>
      <c r="X76">
        <f>AND(IF(metadata!D76="",FALSE,TRUE),exact(metadata!D76,"weeks"))</f>
        <v>0</v>
      </c>
      <c r="Y76">
        <f>AND(IF(metadata!E76="",FALSE,TRUE),exact(metadata!E76,"urban biome"))</f>
        <v>0</v>
      </c>
      <c r="Z76">
        <f>AND(IF(metadata!F76="",FALSE,TRUE),exact(metadata!F76,"animal-associated habitat"))</f>
        <v>0</v>
      </c>
      <c r="AA76">
        <f>AND(IF(metadata!G76="",FALSE,TRUE),exact(metadata!G76,"mouse"))</f>
        <v>0</v>
      </c>
      <c r="AB76">
        <f>AND(IF(metadata!H76="",FALSE,TRUE),exact(metadata!H76,"Mus musculus"))</f>
        <v>0</v>
      </c>
      <c r="AC76">
        <f>AND(IF(metadata!I76="",FALSE,TRUE),exact(metadata!I76,"10090"))</f>
        <v>0</v>
      </c>
      <c r="AD76">
        <f>OR(AND(IF(metadata!J76="",FALSE,TRUE),OR(exact(metadata!J76,"not applicable"),exact(metadata!J76,"missing: not collected"),exact(metadata!J76,"missing: not provided"),exact(metadata!J76,"missing: restricted access"))),AND(IF(metadata!J76="",FALSE,ISNUMBER(VALUE(metadata!J76))),metadata!J76&gt;0))</f>
        <v>0</v>
      </c>
      <c r="AE76">
        <f>AND(IF(metadata!K76="",FALSE,TRUE),exact(metadata!K76,"g"))</f>
        <v>0</v>
      </c>
    </row>
    <row r="77" spans="1:31">
      <c r="A77" s="5">
        <f>IF(B77=" "," ",HYPERLINK(CONCATENATE("#metadata!",ADDRESS(INDEX($Q$2:$Q$1001,MATCH(ROWS($O$2:O77),$O$2:$O$1001,0),0),1)),INDEX($T$2:$T$1001,MATCH(ROWS($O$2:O77),$O$2:$O$1001,0),0)))</f>
        <v>0</v>
      </c>
      <c r="B77" s="4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4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4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4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4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4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4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4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4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4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OR(AND(IF(metadata!C77="",FALSE,TRUE),OR(exact(metadata!C77,"not applicable"),exact(metadata!C77,"missing: not collected"),exact(metadata!C77,"missing: not provided"),exact(metadata!C77,"missing: restricted access"))),AND(IF(metadata!C77="",FALSE,ISNUMBER(VALUE(metadata!C77))),metadata!C77&gt;0))</f>
        <v>0</v>
      </c>
      <c r="X77">
        <f>AND(IF(metadata!D77="",FALSE,TRUE),exact(metadata!D77,"weeks"))</f>
        <v>0</v>
      </c>
      <c r="Y77">
        <f>AND(IF(metadata!E77="",FALSE,TRUE),exact(metadata!E77,"urban biome"))</f>
        <v>0</v>
      </c>
      <c r="Z77">
        <f>AND(IF(metadata!F77="",FALSE,TRUE),exact(metadata!F77,"animal-associated habitat"))</f>
        <v>0</v>
      </c>
      <c r="AA77">
        <f>AND(IF(metadata!G77="",FALSE,TRUE),exact(metadata!G77,"mouse"))</f>
        <v>0</v>
      </c>
      <c r="AB77">
        <f>AND(IF(metadata!H77="",FALSE,TRUE),exact(metadata!H77,"Mus musculus"))</f>
        <v>0</v>
      </c>
      <c r="AC77">
        <f>AND(IF(metadata!I77="",FALSE,TRUE),exact(metadata!I77,"10090"))</f>
        <v>0</v>
      </c>
      <c r="AD77">
        <f>OR(AND(IF(metadata!J77="",FALSE,TRUE),OR(exact(metadata!J77,"not applicable"),exact(metadata!J77,"missing: not collected"),exact(metadata!J77,"missing: not provided"),exact(metadata!J77,"missing: restricted access"))),AND(IF(metadata!J77="",FALSE,ISNUMBER(VALUE(metadata!J77))),metadata!J77&gt;0))</f>
        <v>0</v>
      </c>
      <c r="AE77">
        <f>AND(IF(metadata!K77="",FALSE,TRUE),exact(metadata!K77,"g"))</f>
        <v>0</v>
      </c>
    </row>
    <row r="78" spans="1:31">
      <c r="A78" s="5">
        <f>IF(B78=" "," ",HYPERLINK(CONCATENATE("#metadata!",ADDRESS(INDEX($Q$2:$Q$1001,MATCH(ROWS($O$2:O78),$O$2:$O$1001,0),0),1)),INDEX($T$2:$T$1001,MATCH(ROWS($O$2:O78),$O$2:$O$1001,0),0)))</f>
        <v>0</v>
      </c>
      <c r="B78" s="4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4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4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4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4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4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4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4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4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4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OR(AND(IF(metadata!C78="",FALSE,TRUE),OR(exact(metadata!C78,"not applicable"),exact(metadata!C78,"missing: not collected"),exact(metadata!C78,"missing: not provided"),exact(metadata!C78,"missing: restricted access"))),AND(IF(metadata!C78="",FALSE,ISNUMBER(VALUE(metadata!C78))),metadata!C78&gt;0))</f>
        <v>0</v>
      </c>
      <c r="X78">
        <f>AND(IF(metadata!D78="",FALSE,TRUE),exact(metadata!D78,"weeks"))</f>
        <v>0</v>
      </c>
      <c r="Y78">
        <f>AND(IF(metadata!E78="",FALSE,TRUE),exact(metadata!E78,"urban biome"))</f>
        <v>0</v>
      </c>
      <c r="Z78">
        <f>AND(IF(metadata!F78="",FALSE,TRUE),exact(metadata!F78,"animal-associated habitat"))</f>
        <v>0</v>
      </c>
      <c r="AA78">
        <f>AND(IF(metadata!G78="",FALSE,TRUE),exact(metadata!G78,"mouse"))</f>
        <v>0</v>
      </c>
      <c r="AB78">
        <f>AND(IF(metadata!H78="",FALSE,TRUE),exact(metadata!H78,"Mus musculus"))</f>
        <v>0</v>
      </c>
      <c r="AC78">
        <f>AND(IF(metadata!I78="",FALSE,TRUE),exact(metadata!I78,"10090"))</f>
        <v>0</v>
      </c>
      <c r="AD78">
        <f>OR(AND(IF(metadata!J78="",FALSE,TRUE),OR(exact(metadata!J78,"not applicable"),exact(metadata!J78,"missing: not collected"),exact(metadata!J78,"missing: not provided"),exact(metadata!J78,"missing: restricted access"))),AND(IF(metadata!J78="",FALSE,ISNUMBER(VALUE(metadata!J78))),metadata!J78&gt;0))</f>
        <v>0</v>
      </c>
      <c r="AE78">
        <f>AND(IF(metadata!K78="",FALSE,TRUE),exact(metadata!K78,"g"))</f>
        <v>0</v>
      </c>
    </row>
    <row r="79" spans="1:31">
      <c r="A79" s="5">
        <f>IF(B79=" "," ",HYPERLINK(CONCATENATE("#metadata!",ADDRESS(INDEX($Q$2:$Q$1001,MATCH(ROWS($O$2:O79),$O$2:$O$1001,0),0),1)),INDEX($T$2:$T$1001,MATCH(ROWS($O$2:O79),$O$2:$O$1001,0),0)))</f>
        <v>0</v>
      </c>
      <c r="B79" s="4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4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4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4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4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4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4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4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4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4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OR(AND(IF(metadata!C79="",FALSE,TRUE),OR(exact(metadata!C79,"not applicable"),exact(metadata!C79,"missing: not collected"),exact(metadata!C79,"missing: not provided"),exact(metadata!C79,"missing: restricted access"))),AND(IF(metadata!C79="",FALSE,ISNUMBER(VALUE(metadata!C79))),metadata!C79&gt;0))</f>
        <v>0</v>
      </c>
      <c r="X79">
        <f>AND(IF(metadata!D79="",FALSE,TRUE),exact(metadata!D79,"weeks"))</f>
        <v>0</v>
      </c>
      <c r="Y79">
        <f>AND(IF(metadata!E79="",FALSE,TRUE),exact(metadata!E79,"urban biome"))</f>
        <v>0</v>
      </c>
      <c r="Z79">
        <f>AND(IF(metadata!F79="",FALSE,TRUE),exact(metadata!F79,"animal-associated habitat"))</f>
        <v>0</v>
      </c>
      <c r="AA79">
        <f>AND(IF(metadata!G79="",FALSE,TRUE),exact(metadata!G79,"mouse"))</f>
        <v>0</v>
      </c>
      <c r="AB79">
        <f>AND(IF(metadata!H79="",FALSE,TRUE),exact(metadata!H79,"Mus musculus"))</f>
        <v>0</v>
      </c>
      <c r="AC79">
        <f>AND(IF(metadata!I79="",FALSE,TRUE),exact(metadata!I79,"10090"))</f>
        <v>0</v>
      </c>
      <c r="AD79">
        <f>OR(AND(IF(metadata!J79="",FALSE,TRUE),OR(exact(metadata!J79,"not applicable"),exact(metadata!J79,"missing: not collected"),exact(metadata!J79,"missing: not provided"),exact(metadata!J79,"missing: restricted access"))),AND(IF(metadata!J79="",FALSE,ISNUMBER(VALUE(metadata!J79))),metadata!J79&gt;0))</f>
        <v>0</v>
      </c>
      <c r="AE79">
        <f>AND(IF(metadata!K79="",FALSE,TRUE),exact(metadata!K79,"g"))</f>
        <v>0</v>
      </c>
    </row>
    <row r="80" spans="1:31">
      <c r="A80" s="5">
        <f>IF(B80=" "," ",HYPERLINK(CONCATENATE("#metadata!",ADDRESS(INDEX($Q$2:$Q$1001,MATCH(ROWS($O$2:O80),$O$2:$O$1001,0),0),1)),INDEX($T$2:$T$1001,MATCH(ROWS($O$2:O80),$O$2:$O$1001,0),0)))</f>
        <v>0</v>
      </c>
      <c r="B80" s="4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4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4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4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4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4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4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4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4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4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OR(AND(IF(metadata!C80="",FALSE,TRUE),OR(exact(metadata!C80,"not applicable"),exact(metadata!C80,"missing: not collected"),exact(metadata!C80,"missing: not provided"),exact(metadata!C80,"missing: restricted access"))),AND(IF(metadata!C80="",FALSE,ISNUMBER(VALUE(metadata!C80))),metadata!C80&gt;0))</f>
        <v>0</v>
      </c>
      <c r="X80">
        <f>AND(IF(metadata!D80="",FALSE,TRUE),exact(metadata!D80,"weeks"))</f>
        <v>0</v>
      </c>
      <c r="Y80">
        <f>AND(IF(metadata!E80="",FALSE,TRUE),exact(metadata!E80,"urban biome"))</f>
        <v>0</v>
      </c>
      <c r="Z80">
        <f>AND(IF(metadata!F80="",FALSE,TRUE),exact(metadata!F80,"animal-associated habitat"))</f>
        <v>0</v>
      </c>
      <c r="AA80">
        <f>AND(IF(metadata!G80="",FALSE,TRUE),exact(metadata!G80,"mouse"))</f>
        <v>0</v>
      </c>
      <c r="AB80">
        <f>AND(IF(metadata!H80="",FALSE,TRUE),exact(metadata!H80,"Mus musculus"))</f>
        <v>0</v>
      </c>
      <c r="AC80">
        <f>AND(IF(metadata!I80="",FALSE,TRUE),exact(metadata!I80,"10090"))</f>
        <v>0</v>
      </c>
      <c r="AD80">
        <f>OR(AND(IF(metadata!J80="",FALSE,TRUE),OR(exact(metadata!J80,"not applicable"),exact(metadata!J80,"missing: not collected"),exact(metadata!J80,"missing: not provided"),exact(metadata!J80,"missing: restricted access"))),AND(IF(metadata!J80="",FALSE,ISNUMBER(VALUE(metadata!J80))),metadata!J80&gt;0))</f>
        <v>0</v>
      </c>
      <c r="AE80">
        <f>AND(IF(metadata!K80="",FALSE,TRUE),exact(metadata!K80,"g"))</f>
        <v>0</v>
      </c>
    </row>
    <row r="81" spans="1:31">
      <c r="A81" s="5">
        <f>IF(B81=" "," ",HYPERLINK(CONCATENATE("#metadata!",ADDRESS(INDEX($Q$2:$Q$1001,MATCH(ROWS($O$2:O81),$O$2:$O$1001,0),0),1)),INDEX($T$2:$T$1001,MATCH(ROWS($O$2:O81),$O$2:$O$1001,0),0)))</f>
        <v>0</v>
      </c>
      <c r="B81" s="4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4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4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4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4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4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4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4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4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4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OR(AND(IF(metadata!C81="",FALSE,TRUE),OR(exact(metadata!C81,"not applicable"),exact(metadata!C81,"missing: not collected"),exact(metadata!C81,"missing: not provided"),exact(metadata!C81,"missing: restricted access"))),AND(IF(metadata!C81="",FALSE,ISNUMBER(VALUE(metadata!C81))),metadata!C81&gt;0))</f>
        <v>0</v>
      </c>
      <c r="X81">
        <f>AND(IF(metadata!D81="",FALSE,TRUE),exact(metadata!D81,"weeks"))</f>
        <v>0</v>
      </c>
      <c r="Y81">
        <f>AND(IF(metadata!E81="",FALSE,TRUE),exact(metadata!E81,"urban biome"))</f>
        <v>0</v>
      </c>
      <c r="Z81">
        <f>AND(IF(metadata!F81="",FALSE,TRUE),exact(metadata!F81,"animal-associated habitat"))</f>
        <v>0</v>
      </c>
      <c r="AA81">
        <f>AND(IF(metadata!G81="",FALSE,TRUE),exact(metadata!G81,"mouse"))</f>
        <v>0</v>
      </c>
      <c r="AB81">
        <f>AND(IF(metadata!H81="",FALSE,TRUE),exact(metadata!H81,"Mus musculus"))</f>
        <v>0</v>
      </c>
      <c r="AC81">
        <f>AND(IF(metadata!I81="",FALSE,TRUE),exact(metadata!I81,"10090"))</f>
        <v>0</v>
      </c>
      <c r="AD81">
        <f>OR(AND(IF(metadata!J81="",FALSE,TRUE),OR(exact(metadata!J81,"not applicable"),exact(metadata!J81,"missing: not collected"),exact(metadata!J81,"missing: not provided"),exact(metadata!J81,"missing: restricted access"))),AND(IF(metadata!J81="",FALSE,ISNUMBER(VALUE(metadata!J81))),metadata!J81&gt;0))</f>
        <v>0</v>
      </c>
      <c r="AE81">
        <f>AND(IF(metadata!K81="",FALSE,TRUE),exact(metadata!K81,"g"))</f>
        <v>0</v>
      </c>
    </row>
    <row r="82" spans="1:31">
      <c r="A82" s="5">
        <f>IF(B82=" "," ",HYPERLINK(CONCATENATE("#metadata!",ADDRESS(INDEX($Q$2:$Q$1001,MATCH(ROWS($O$2:O82),$O$2:$O$1001,0),0),1)),INDEX($T$2:$T$1001,MATCH(ROWS($O$2:O82),$O$2:$O$1001,0),0)))</f>
        <v>0</v>
      </c>
      <c r="B82" s="4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4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4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4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4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4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4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4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4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4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OR(AND(IF(metadata!C82="",FALSE,TRUE),OR(exact(metadata!C82,"not applicable"),exact(metadata!C82,"missing: not collected"),exact(metadata!C82,"missing: not provided"),exact(metadata!C82,"missing: restricted access"))),AND(IF(metadata!C82="",FALSE,ISNUMBER(VALUE(metadata!C82))),metadata!C82&gt;0))</f>
        <v>0</v>
      </c>
      <c r="X82">
        <f>AND(IF(metadata!D82="",FALSE,TRUE),exact(metadata!D82,"weeks"))</f>
        <v>0</v>
      </c>
      <c r="Y82">
        <f>AND(IF(metadata!E82="",FALSE,TRUE),exact(metadata!E82,"urban biome"))</f>
        <v>0</v>
      </c>
      <c r="Z82">
        <f>AND(IF(metadata!F82="",FALSE,TRUE),exact(metadata!F82,"animal-associated habitat"))</f>
        <v>0</v>
      </c>
      <c r="AA82">
        <f>AND(IF(metadata!G82="",FALSE,TRUE),exact(metadata!G82,"mouse"))</f>
        <v>0</v>
      </c>
      <c r="AB82">
        <f>AND(IF(metadata!H82="",FALSE,TRUE),exact(metadata!H82,"Mus musculus"))</f>
        <v>0</v>
      </c>
      <c r="AC82">
        <f>AND(IF(metadata!I82="",FALSE,TRUE),exact(metadata!I82,"10090"))</f>
        <v>0</v>
      </c>
      <c r="AD82">
        <f>OR(AND(IF(metadata!J82="",FALSE,TRUE),OR(exact(metadata!J82,"not applicable"),exact(metadata!J82,"missing: not collected"),exact(metadata!J82,"missing: not provided"),exact(metadata!J82,"missing: restricted access"))),AND(IF(metadata!J82="",FALSE,ISNUMBER(VALUE(metadata!J82))),metadata!J82&gt;0))</f>
        <v>0</v>
      </c>
      <c r="AE82">
        <f>AND(IF(metadata!K82="",FALSE,TRUE),exact(metadata!K82,"g"))</f>
        <v>0</v>
      </c>
    </row>
    <row r="83" spans="1:31">
      <c r="A83" s="5">
        <f>IF(B83=" "," ",HYPERLINK(CONCATENATE("#metadata!",ADDRESS(INDEX($Q$2:$Q$1001,MATCH(ROWS($O$2:O83),$O$2:$O$1001,0),0),1)),INDEX($T$2:$T$1001,MATCH(ROWS($O$2:O83),$O$2:$O$1001,0),0)))</f>
        <v>0</v>
      </c>
      <c r="B83" s="4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4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4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4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4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4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4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4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4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4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OR(AND(IF(metadata!C83="",FALSE,TRUE),OR(exact(metadata!C83,"not applicable"),exact(metadata!C83,"missing: not collected"),exact(metadata!C83,"missing: not provided"),exact(metadata!C83,"missing: restricted access"))),AND(IF(metadata!C83="",FALSE,ISNUMBER(VALUE(metadata!C83))),metadata!C83&gt;0))</f>
        <v>0</v>
      </c>
      <c r="X83">
        <f>AND(IF(metadata!D83="",FALSE,TRUE),exact(metadata!D83,"weeks"))</f>
        <v>0</v>
      </c>
      <c r="Y83">
        <f>AND(IF(metadata!E83="",FALSE,TRUE),exact(metadata!E83,"urban biome"))</f>
        <v>0</v>
      </c>
      <c r="Z83">
        <f>AND(IF(metadata!F83="",FALSE,TRUE),exact(metadata!F83,"animal-associated habitat"))</f>
        <v>0</v>
      </c>
      <c r="AA83">
        <f>AND(IF(metadata!G83="",FALSE,TRUE),exact(metadata!G83,"mouse"))</f>
        <v>0</v>
      </c>
      <c r="AB83">
        <f>AND(IF(metadata!H83="",FALSE,TRUE),exact(metadata!H83,"Mus musculus"))</f>
        <v>0</v>
      </c>
      <c r="AC83">
        <f>AND(IF(metadata!I83="",FALSE,TRUE),exact(metadata!I83,"10090"))</f>
        <v>0</v>
      </c>
      <c r="AD83">
        <f>OR(AND(IF(metadata!J83="",FALSE,TRUE),OR(exact(metadata!J83,"not applicable"),exact(metadata!J83,"missing: not collected"),exact(metadata!J83,"missing: not provided"),exact(metadata!J83,"missing: restricted access"))),AND(IF(metadata!J83="",FALSE,ISNUMBER(VALUE(metadata!J83))),metadata!J83&gt;0))</f>
        <v>0</v>
      </c>
      <c r="AE83">
        <f>AND(IF(metadata!K83="",FALSE,TRUE),exact(metadata!K83,"g"))</f>
        <v>0</v>
      </c>
    </row>
    <row r="84" spans="1:31">
      <c r="A84" s="5">
        <f>IF(B84=" "," ",HYPERLINK(CONCATENATE("#metadata!",ADDRESS(INDEX($Q$2:$Q$1001,MATCH(ROWS($O$2:O84),$O$2:$O$1001,0),0),1)),INDEX($T$2:$T$1001,MATCH(ROWS($O$2:O84),$O$2:$O$1001,0),0)))</f>
        <v>0</v>
      </c>
      <c r="B84" s="4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4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4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4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4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4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4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4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4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4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OR(AND(IF(metadata!C84="",FALSE,TRUE),OR(exact(metadata!C84,"not applicable"),exact(metadata!C84,"missing: not collected"),exact(metadata!C84,"missing: not provided"),exact(metadata!C84,"missing: restricted access"))),AND(IF(metadata!C84="",FALSE,ISNUMBER(VALUE(metadata!C84))),metadata!C84&gt;0))</f>
        <v>0</v>
      </c>
      <c r="X84">
        <f>AND(IF(metadata!D84="",FALSE,TRUE),exact(metadata!D84,"weeks"))</f>
        <v>0</v>
      </c>
      <c r="Y84">
        <f>AND(IF(metadata!E84="",FALSE,TRUE),exact(metadata!E84,"urban biome"))</f>
        <v>0</v>
      </c>
      <c r="Z84">
        <f>AND(IF(metadata!F84="",FALSE,TRUE),exact(metadata!F84,"animal-associated habitat"))</f>
        <v>0</v>
      </c>
      <c r="AA84">
        <f>AND(IF(metadata!G84="",FALSE,TRUE),exact(metadata!G84,"mouse"))</f>
        <v>0</v>
      </c>
      <c r="AB84">
        <f>AND(IF(metadata!H84="",FALSE,TRUE),exact(metadata!H84,"Mus musculus"))</f>
        <v>0</v>
      </c>
      <c r="AC84">
        <f>AND(IF(metadata!I84="",FALSE,TRUE),exact(metadata!I84,"10090"))</f>
        <v>0</v>
      </c>
      <c r="AD84">
        <f>OR(AND(IF(metadata!J84="",FALSE,TRUE),OR(exact(metadata!J84,"not applicable"),exact(metadata!J84,"missing: not collected"),exact(metadata!J84,"missing: not provided"),exact(metadata!J84,"missing: restricted access"))),AND(IF(metadata!J84="",FALSE,ISNUMBER(VALUE(metadata!J84))),metadata!J84&gt;0))</f>
        <v>0</v>
      </c>
      <c r="AE84">
        <f>AND(IF(metadata!K84="",FALSE,TRUE),exact(metadata!K84,"g"))</f>
        <v>0</v>
      </c>
    </row>
    <row r="85" spans="1:31">
      <c r="A85" s="5">
        <f>IF(B85=" "," ",HYPERLINK(CONCATENATE("#metadata!",ADDRESS(INDEX($Q$2:$Q$1001,MATCH(ROWS($O$2:O85),$O$2:$O$1001,0),0),1)),INDEX($T$2:$T$1001,MATCH(ROWS($O$2:O85),$O$2:$O$1001,0),0)))</f>
        <v>0</v>
      </c>
      <c r="B85" s="4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4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4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4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4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4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4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4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4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4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OR(AND(IF(metadata!C85="",FALSE,TRUE),OR(exact(metadata!C85,"not applicable"),exact(metadata!C85,"missing: not collected"),exact(metadata!C85,"missing: not provided"),exact(metadata!C85,"missing: restricted access"))),AND(IF(metadata!C85="",FALSE,ISNUMBER(VALUE(metadata!C85))),metadata!C85&gt;0))</f>
        <v>0</v>
      </c>
      <c r="X85">
        <f>AND(IF(metadata!D85="",FALSE,TRUE),exact(metadata!D85,"weeks"))</f>
        <v>0</v>
      </c>
      <c r="Y85">
        <f>AND(IF(metadata!E85="",FALSE,TRUE),exact(metadata!E85,"urban biome"))</f>
        <v>0</v>
      </c>
      <c r="Z85">
        <f>AND(IF(metadata!F85="",FALSE,TRUE),exact(metadata!F85,"animal-associated habitat"))</f>
        <v>0</v>
      </c>
      <c r="AA85">
        <f>AND(IF(metadata!G85="",FALSE,TRUE),exact(metadata!G85,"mouse"))</f>
        <v>0</v>
      </c>
      <c r="AB85">
        <f>AND(IF(metadata!H85="",FALSE,TRUE),exact(metadata!H85,"Mus musculus"))</f>
        <v>0</v>
      </c>
      <c r="AC85">
        <f>AND(IF(metadata!I85="",FALSE,TRUE),exact(metadata!I85,"10090"))</f>
        <v>0</v>
      </c>
      <c r="AD85">
        <f>OR(AND(IF(metadata!J85="",FALSE,TRUE),OR(exact(metadata!J85,"not applicable"),exact(metadata!J85,"missing: not collected"),exact(metadata!J85,"missing: not provided"),exact(metadata!J85,"missing: restricted access"))),AND(IF(metadata!J85="",FALSE,ISNUMBER(VALUE(metadata!J85))),metadata!J85&gt;0))</f>
        <v>0</v>
      </c>
      <c r="AE85">
        <f>AND(IF(metadata!K85="",FALSE,TRUE),exact(metadata!K85,"g"))</f>
        <v>0</v>
      </c>
    </row>
    <row r="86" spans="1:31">
      <c r="A86" s="5">
        <f>IF(B86=" "," ",HYPERLINK(CONCATENATE("#metadata!",ADDRESS(INDEX($Q$2:$Q$1001,MATCH(ROWS($O$2:O86),$O$2:$O$1001,0),0),1)),INDEX($T$2:$T$1001,MATCH(ROWS($O$2:O86),$O$2:$O$1001,0),0)))</f>
        <v>0</v>
      </c>
      <c r="B86" s="4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4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4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4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4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4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4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4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4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4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OR(AND(IF(metadata!C86="",FALSE,TRUE),OR(exact(metadata!C86,"not applicable"),exact(metadata!C86,"missing: not collected"),exact(metadata!C86,"missing: not provided"),exact(metadata!C86,"missing: restricted access"))),AND(IF(metadata!C86="",FALSE,ISNUMBER(VALUE(metadata!C86))),metadata!C86&gt;0))</f>
        <v>0</v>
      </c>
      <c r="X86">
        <f>AND(IF(metadata!D86="",FALSE,TRUE),exact(metadata!D86,"weeks"))</f>
        <v>0</v>
      </c>
      <c r="Y86">
        <f>AND(IF(metadata!E86="",FALSE,TRUE),exact(metadata!E86,"urban biome"))</f>
        <v>0</v>
      </c>
      <c r="Z86">
        <f>AND(IF(metadata!F86="",FALSE,TRUE),exact(metadata!F86,"animal-associated habitat"))</f>
        <v>0</v>
      </c>
      <c r="AA86">
        <f>AND(IF(metadata!G86="",FALSE,TRUE),exact(metadata!G86,"mouse"))</f>
        <v>0</v>
      </c>
      <c r="AB86">
        <f>AND(IF(metadata!H86="",FALSE,TRUE),exact(metadata!H86,"Mus musculus"))</f>
        <v>0</v>
      </c>
      <c r="AC86">
        <f>AND(IF(metadata!I86="",FALSE,TRUE),exact(metadata!I86,"10090"))</f>
        <v>0</v>
      </c>
      <c r="AD86">
        <f>OR(AND(IF(metadata!J86="",FALSE,TRUE),OR(exact(metadata!J86,"not applicable"),exact(metadata!J86,"missing: not collected"),exact(metadata!J86,"missing: not provided"),exact(metadata!J86,"missing: restricted access"))),AND(IF(metadata!J86="",FALSE,ISNUMBER(VALUE(metadata!J86))),metadata!J86&gt;0))</f>
        <v>0</v>
      </c>
      <c r="AE86">
        <f>AND(IF(metadata!K86="",FALSE,TRUE),exact(metadata!K86,"g"))</f>
        <v>0</v>
      </c>
    </row>
    <row r="87" spans="1:31">
      <c r="A87" s="5">
        <f>IF(B87=" "," ",HYPERLINK(CONCATENATE("#metadata!",ADDRESS(INDEX($Q$2:$Q$1001,MATCH(ROWS($O$2:O87),$O$2:$O$1001,0),0),1)),INDEX($T$2:$T$1001,MATCH(ROWS($O$2:O87),$O$2:$O$1001,0),0)))</f>
        <v>0</v>
      </c>
      <c r="B87" s="4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4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4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4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4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4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4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4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4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4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OR(AND(IF(metadata!C87="",FALSE,TRUE),OR(exact(metadata!C87,"not applicable"),exact(metadata!C87,"missing: not collected"),exact(metadata!C87,"missing: not provided"),exact(metadata!C87,"missing: restricted access"))),AND(IF(metadata!C87="",FALSE,ISNUMBER(VALUE(metadata!C87))),metadata!C87&gt;0))</f>
        <v>0</v>
      </c>
      <c r="X87">
        <f>AND(IF(metadata!D87="",FALSE,TRUE),exact(metadata!D87,"weeks"))</f>
        <v>0</v>
      </c>
      <c r="Y87">
        <f>AND(IF(metadata!E87="",FALSE,TRUE),exact(metadata!E87,"urban biome"))</f>
        <v>0</v>
      </c>
      <c r="Z87">
        <f>AND(IF(metadata!F87="",FALSE,TRUE),exact(metadata!F87,"animal-associated habitat"))</f>
        <v>0</v>
      </c>
      <c r="AA87">
        <f>AND(IF(metadata!G87="",FALSE,TRUE),exact(metadata!G87,"mouse"))</f>
        <v>0</v>
      </c>
      <c r="AB87">
        <f>AND(IF(metadata!H87="",FALSE,TRUE),exact(metadata!H87,"Mus musculus"))</f>
        <v>0</v>
      </c>
      <c r="AC87">
        <f>AND(IF(metadata!I87="",FALSE,TRUE),exact(metadata!I87,"10090"))</f>
        <v>0</v>
      </c>
      <c r="AD87">
        <f>OR(AND(IF(metadata!J87="",FALSE,TRUE),OR(exact(metadata!J87,"not applicable"),exact(metadata!J87,"missing: not collected"),exact(metadata!J87,"missing: not provided"),exact(metadata!J87,"missing: restricted access"))),AND(IF(metadata!J87="",FALSE,ISNUMBER(VALUE(metadata!J87))),metadata!J87&gt;0))</f>
        <v>0</v>
      </c>
      <c r="AE87">
        <f>AND(IF(metadata!K87="",FALSE,TRUE),exact(metadata!K87,"g"))</f>
        <v>0</v>
      </c>
    </row>
    <row r="88" spans="1:31">
      <c r="A88" s="5">
        <f>IF(B88=" "," ",HYPERLINK(CONCATENATE("#metadata!",ADDRESS(INDEX($Q$2:$Q$1001,MATCH(ROWS($O$2:O88),$O$2:$O$1001,0),0),1)),INDEX($T$2:$T$1001,MATCH(ROWS($O$2:O88),$O$2:$O$1001,0),0)))</f>
        <v>0</v>
      </c>
      <c r="B88" s="4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4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4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4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4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4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4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4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4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4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OR(AND(IF(metadata!C88="",FALSE,TRUE),OR(exact(metadata!C88,"not applicable"),exact(metadata!C88,"missing: not collected"),exact(metadata!C88,"missing: not provided"),exact(metadata!C88,"missing: restricted access"))),AND(IF(metadata!C88="",FALSE,ISNUMBER(VALUE(metadata!C88))),metadata!C88&gt;0))</f>
        <v>0</v>
      </c>
      <c r="X88">
        <f>AND(IF(metadata!D88="",FALSE,TRUE),exact(metadata!D88,"weeks"))</f>
        <v>0</v>
      </c>
      <c r="Y88">
        <f>AND(IF(metadata!E88="",FALSE,TRUE),exact(metadata!E88,"urban biome"))</f>
        <v>0</v>
      </c>
      <c r="Z88">
        <f>AND(IF(metadata!F88="",FALSE,TRUE),exact(metadata!F88,"animal-associated habitat"))</f>
        <v>0</v>
      </c>
      <c r="AA88">
        <f>AND(IF(metadata!G88="",FALSE,TRUE),exact(metadata!G88,"mouse"))</f>
        <v>0</v>
      </c>
      <c r="AB88">
        <f>AND(IF(metadata!H88="",FALSE,TRUE),exact(metadata!H88,"Mus musculus"))</f>
        <v>0</v>
      </c>
      <c r="AC88">
        <f>AND(IF(metadata!I88="",FALSE,TRUE),exact(metadata!I88,"10090"))</f>
        <v>0</v>
      </c>
      <c r="AD88">
        <f>OR(AND(IF(metadata!J88="",FALSE,TRUE),OR(exact(metadata!J88,"not applicable"),exact(metadata!J88,"missing: not collected"),exact(metadata!J88,"missing: not provided"),exact(metadata!J88,"missing: restricted access"))),AND(IF(metadata!J88="",FALSE,ISNUMBER(VALUE(metadata!J88))),metadata!J88&gt;0))</f>
        <v>0</v>
      </c>
      <c r="AE88">
        <f>AND(IF(metadata!K88="",FALSE,TRUE),exact(metadata!K88,"g"))</f>
        <v>0</v>
      </c>
    </row>
    <row r="89" spans="1:31">
      <c r="A89" s="5">
        <f>IF(B89=" "," ",HYPERLINK(CONCATENATE("#metadata!",ADDRESS(INDEX($Q$2:$Q$1001,MATCH(ROWS($O$2:O89),$O$2:$O$1001,0),0),1)),INDEX($T$2:$T$1001,MATCH(ROWS($O$2:O89),$O$2:$O$1001,0),0)))</f>
        <v>0</v>
      </c>
      <c r="B89" s="4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4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4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4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4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4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4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4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4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4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OR(AND(IF(metadata!C89="",FALSE,TRUE),OR(exact(metadata!C89,"not applicable"),exact(metadata!C89,"missing: not collected"),exact(metadata!C89,"missing: not provided"),exact(metadata!C89,"missing: restricted access"))),AND(IF(metadata!C89="",FALSE,ISNUMBER(VALUE(metadata!C89))),metadata!C89&gt;0))</f>
        <v>0</v>
      </c>
      <c r="X89">
        <f>AND(IF(metadata!D89="",FALSE,TRUE),exact(metadata!D89,"weeks"))</f>
        <v>0</v>
      </c>
      <c r="Y89">
        <f>AND(IF(metadata!E89="",FALSE,TRUE),exact(metadata!E89,"urban biome"))</f>
        <v>0</v>
      </c>
      <c r="Z89">
        <f>AND(IF(metadata!F89="",FALSE,TRUE),exact(metadata!F89,"animal-associated habitat"))</f>
        <v>0</v>
      </c>
      <c r="AA89">
        <f>AND(IF(metadata!G89="",FALSE,TRUE),exact(metadata!G89,"mouse"))</f>
        <v>0</v>
      </c>
      <c r="AB89">
        <f>AND(IF(metadata!H89="",FALSE,TRUE),exact(metadata!H89,"Mus musculus"))</f>
        <v>0</v>
      </c>
      <c r="AC89">
        <f>AND(IF(metadata!I89="",FALSE,TRUE),exact(metadata!I89,"10090"))</f>
        <v>0</v>
      </c>
      <c r="AD89">
        <f>OR(AND(IF(metadata!J89="",FALSE,TRUE),OR(exact(metadata!J89,"not applicable"),exact(metadata!J89,"missing: not collected"),exact(metadata!J89,"missing: not provided"),exact(metadata!J89,"missing: restricted access"))),AND(IF(metadata!J89="",FALSE,ISNUMBER(VALUE(metadata!J89))),metadata!J89&gt;0))</f>
        <v>0</v>
      </c>
      <c r="AE89">
        <f>AND(IF(metadata!K89="",FALSE,TRUE),exact(metadata!K89,"g"))</f>
        <v>0</v>
      </c>
    </row>
    <row r="90" spans="1:31">
      <c r="A90" s="5">
        <f>IF(B90=" "," ",HYPERLINK(CONCATENATE("#metadata!",ADDRESS(INDEX($Q$2:$Q$1001,MATCH(ROWS($O$2:O90),$O$2:$O$1001,0),0),1)),INDEX($T$2:$T$1001,MATCH(ROWS($O$2:O90),$O$2:$O$1001,0),0)))</f>
        <v>0</v>
      </c>
      <c r="B90" s="4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4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4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4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4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4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4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4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4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4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OR(AND(IF(metadata!C90="",FALSE,TRUE),OR(exact(metadata!C90,"not applicable"),exact(metadata!C90,"missing: not collected"),exact(metadata!C90,"missing: not provided"),exact(metadata!C90,"missing: restricted access"))),AND(IF(metadata!C90="",FALSE,ISNUMBER(VALUE(metadata!C90))),metadata!C90&gt;0))</f>
        <v>0</v>
      </c>
      <c r="X90">
        <f>AND(IF(metadata!D90="",FALSE,TRUE),exact(metadata!D90,"weeks"))</f>
        <v>0</v>
      </c>
      <c r="Y90">
        <f>AND(IF(metadata!E90="",FALSE,TRUE),exact(metadata!E90,"urban biome"))</f>
        <v>0</v>
      </c>
      <c r="Z90">
        <f>AND(IF(metadata!F90="",FALSE,TRUE),exact(metadata!F90,"animal-associated habitat"))</f>
        <v>0</v>
      </c>
      <c r="AA90">
        <f>AND(IF(metadata!G90="",FALSE,TRUE),exact(metadata!G90,"mouse"))</f>
        <v>0</v>
      </c>
      <c r="AB90">
        <f>AND(IF(metadata!H90="",FALSE,TRUE),exact(metadata!H90,"Mus musculus"))</f>
        <v>0</v>
      </c>
      <c r="AC90">
        <f>AND(IF(metadata!I90="",FALSE,TRUE),exact(metadata!I90,"10090"))</f>
        <v>0</v>
      </c>
      <c r="AD90">
        <f>OR(AND(IF(metadata!J90="",FALSE,TRUE),OR(exact(metadata!J90,"not applicable"),exact(metadata!J90,"missing: not collected"),exact(metadata!J90,"missing: not provided"),exact(metadata!J90,"missing: restricted access"))),AND(IF(metadata!J90="",FALSE,ISNUMBER(VALUE(metadata!J90))),metadata!J90&gt;0))</f>
        <v>0</v>
      </c>
      <c r="AE90">
        <f>AND(IF(metadata!K90="",FALSE,TRUE),exact(metadata!K90,"g"))</f>
        <v>0</v>
      </c>
    </row>
    <row r="91" spans="1:31">
      <c r="A91" s="5">
        <f>IF(B91=" "," ",HYPERLINK(CONCATENATE("#metadata!",ADDRESS(INDEX($Q$2:$Q$1001,MATCH(ROWS($O$2:O91),$O$2:$O$1001,0),0),1)),INDEX($T$2:$T$1001,MATCH(ROWS($O$2:O91),$O$2:$O$1001,0),0)))</f>
        <v>0</v>
      </c>
      <c r="B91" s="4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4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4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4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4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4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4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4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4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4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OR(AND(IF(metadata!C91="",FALSE,TRUE),OR(exact(metadata!C91,"not applicable"),exact(metadata!C91,"missing: not collected"),exact(metadata!C91,"missing: not provided"),exact(metadata!C91,"missing: restricted access"))),AND(IF(metadata!C91="",FALSE,ISNUMBER(VALUE(metadata!C91))),metadata!C91&gt;0))</f>
        <v>0</v>
      </c>
      <c r="X91">
        <f>AND(IF(metadata!D91="",FALSE,TRUE),exact(metadata!D91,"weeks"))</f>
        <v>0</v>
      </c>
      <c r="Y91">
        <f>AND(IF(metadata!E91="",FALSE,TRUE),exact(metadata!E91,"urban biome"))</f>
        <v>0</v>
      </c>
      <c r="Z91">
        <f>AND(IF(metadata!F91="",FALSE,TRUE),exact(metadata!F91,"animal-associated habitat"))</f>
        <v>0</v>
      </c>
      <c r="AA91">
        <f>AND(IF(metadata!G91="",FALSE,TRUE),exact(metadata!G91,"mouse"))</f>
        <v>0</v>
      </c>
      <c r="AB91">
        <f>AND(IF(metadata!H91="",FALSE,TRUE),exact(metadata!H91,"Mus musculus"))</f>
        <v>0</v>
      </c>
      <c r="AC91">
        <f>AND(IF(metadata!I91="",FALSE,TRUE),exact(metadata!I91,"10090"))</f>
        <v>0</v>
      </c>
      <c r="AD91">
        <f>OR(AND(IF(metadata!J91="",FALSE,TRUE),OR(exact(metadata!J91,"not applicable"),exact(metadata!J91,"missing: not collected"),exact(metadata!J91,"missing: not provided"),exact(metadata!J91,"missing: restricted access"))),AND(IF(metadata!J91="",FALSE,ISNUMBER(VALUE(metadata!J91))),metadata!J91&gt;0))</f>
        <v>0</v>
      </c>
      <c r="AE91">
        <f>AND(IF(metadata!K91="",FALSE,TRUE),exact(metadata!K91,"g"))</f>
        <v>0</v>
      </c>
    </row>
    <row r="92" spans="1:31">
      <c r="A92" s="5">
        <f>IF(B92=" "," ",HYPERLINK(CONCATENATE("#metadata!",ADDRESS(INDEX($Q$2:$Q$1001,MATCH(ROWS($O$2:O92),$O$2:$O$1001,0),0),1)),INDEX($T$2:$T$1001,MATCH(ROWS($O$2:O92),$O$2:$O$1001,0),0)))</f>
        <v>0</v>
      </c>
      <c r="B92" s="4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4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4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4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4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4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4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4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4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4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OR(AND(IF(metadata!C92="",FALSE,TRUE),OR(exact(metadata!C92,"not applicable"),exact(metadata!C92,"missing: not collected"),exact(metadata!C92,"missing: not provided"),exact(metadata!C92,"missing: restricted access"))),AND(IF(metadata!C92="",FALSE,ISNUMBER(VALUE(metadata!C92))),metadata!C92&gt;0))</f>
        <v>0</v>
      </c>
      <c r="X92">
        <f>AND(IF(metadata!D92="",FALSE,TRUE),exact(metadata!D92,"weeks"))</f>
        <v>0</v>
      </c>
      <c r="Y92">
        <f>AND(IF(metadata!E92="",FALSE,TRUE),exact(metadata!E92,"urban biome"))</f>
        <v>0</v>
      </c>
      <c r="Z92">
        <f>AND(IF(metadata!F92="",FALSE,TRUE),exact(metadata!F92,"animal-associated habitat"))</f>
        <v>0</v>
      </c>
      <c r="AA92">
        <f>AND(IF(metadata!G92="",FALSE,TRUE),exact(metadata!G92,"mouse"))</f>
        <v>0</v>
      </c>
      <c r="AB92">
        <f>AND(IF(metadata!H92="",FALSE,TRUE),exact(metadata!H92,"Mus musculus"))</f>
        <v>0</v>
      </c>
      <c r="AC92">
        <f>AND(IF(metadata!I92="",FALSE,TRUE),exact(metadata!I92,"10090"))</f>
        <v>0</v>
      </c>
      <c r="AD92">
        <f>OR(AND(IF(metadata!J92="",FALSE,TRUE),OR(exact(metadata!J92,"not applicable"),exact(metadata!J92,"missing: not collected"),exact(metadata!J92,"missing: not provided"),exact(metadata!J92,"missing: restricted access"))),AND(IF(metadata!J92="",FALSE,ISNUMBER(VALUE(metadata!J92))),metadata!J92&gt;0))</f>
        <v>0</v>
      </c>
      <c r="AE92">
        <f>AND(IF(metadata!K92="",FALSE,TRUE),exact(metadata!K92,"g"))</f>
        <v>0</v>
      </c>
    </row>
    <row r="93" spans="1:31">
      <c r="A93" s="5">
        <f>IF(B93=" "," ",HYPERLINK(CONCATENATE("#metadata!",ADDRESS(INDEX($Q$2:$Q$1001,MATCH(ROWS($O$2:O93),$O$2:$O$1001,0),0),1)),INDEX($T$2:$T$1001,MATCH(ROWS($O$2:O93),$O$2:$O$1001,0),0)))</f>
        <v>0</v>
      </c>
      <c r="B93" s="4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4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4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4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4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4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4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4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4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4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OR(AND(IF(metadata!C93="",FALSE,TRUE),OR(exact(metadata!C93,"not applicable"),exact(metadata!C93,"missing: not collected"),exact(metadata!C93,"missing: not provided"),exact(metadata!C93,"missing: restricted access"))),AND(IF(metadata!C93="",FALSE,ISNUMBER(VALUE(metadata!C93))),metadata!C93&gt;0))</f>
        <v>0</v>
      </c>
      <c r="X93">
        <f>AND(IF(metadata!D93="",FALSE,TRUE),exact(metadata!D93,"weeks"))</f>
        <v>0</v>
      </c>
      <c r="Y93">
        <f>AND(IF(metadata!E93="",FALSE,TRUE),exact(metadata!E93,"urban biome"))</f>
        <v>0</v>
      </c>
      <c r="Z93">
        <f>AND(IF(metadata!F93="",FALSE,TRUE),exact(metadata!F93,"animal-associated habitat"))</f>
        <v>0</v>
      </c>
      <c r="AA93">
        <f>AND(IF(metadata!G93="",FALSE,TRUE),exact(metadata!G93,"mouse"))</f>
        <v>0</v>
      </c>
      <c r="AB93">
        <f>AND(IF(metadata!H93="",FALSE,TRUE),exact(metadata!H93,"Mus musculus"))</f>
        <v>0</v>
      </c>
      <c r="AC93">
        <f>AND(IF(metadata!I93="",FALSE,TRUE),exact(metadata!I93,"10090"))</f>
        <v>0</v>
      </c>
      <c r="AD93">
        <f>OR(AND(IF(metadata!J93="",FALSE,TRUE),OR(exact(metadata!J93,"not applicable"),exact(metadata!J93,"missing: not collected"),exact(metadata!J93,"missing: not provided"),exact(metadata!J93,"missing: restricted access"))),AND(IF(metadata!J93="",FALSE,ISNUMBER(VALUE(metadata!J93))),metadata!J93&gt;0))</f>
        <v>0</v>
      </c>
      <c r="AE93">
        <f>AND(IF(metadata!K93="",FALSE,TRUE),exact(metadata!K93,"g"))</f>
        <v>0</v>
      </c>
    </row>
    <row r="94" spans="1:31">
      <c r="A94" s="5">
        <f>IF(B94=" "," ",HYPERLINK(CONCATENATE("#metadata!",ADDRESS(INDEX($Q$2:$Q$1001,MATCH(ROWS($O$2:O94),$O$2:$O$1001,0),0),1)),INDEX($T$2:$T$1001,MATCH(ROWS($O$2:O94),$O$2:$O$1001,0),0)))</f>
        <v>0</v>
      </c>
      <c r="B94" s="4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4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4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4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4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4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4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4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4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4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OR(AND(IF(metadata!C94="",FALSE,TRUE),OR(exact(metadata!C94,"not applicable"),exact(metadata!C94,"missing: not collected"),exact(metadata!C94,"missing: not provided"),exact(metadata!C94,"missing: restricted access"))),AND(IF(metadata!C94="",FALSE,ISNUMBER(VALUE(metadata!C94))),metadata!C94&gt;0))</f>
        <v>0</v>
      </c>
      <c r="X94">
        <f>AND(IF(metadata!D94="",FALSE,TRUE),exact(metadata!D94,"weeks"))</f>
        <v>0</v>
      </c>
      <c r="Y94">
        <f>AND(IF(metadata!E94="",FALSE,TRUE),exact(metadata!E94,"urban biome"))</f>
        <v>0</v>
      </c>
      <c r="Z94">
        <f>AND(IF(metadata!F94="",FALSE,TRUE),exact(metadata!F94,"animal-associated habitat"))</f>
        <v>0</v>
      </c>
      <c r="AA94">
        <f>AND(IF(metadata!G94="",FALSE,TRUE),exact(metadata!G94,"mouse"))</f>
        <v>0</v>
      </c>
      <c r="AB94">
        <f>AND(IF(metadata!H94="",FALSE,TRUE),exact(metadata!H94,"Mus musculus"))</f>
        <v>0</v>
      </c>
      <c r="AC94">
        <f>AND(IF(metadata!I94="",FALSE,TRUE),exact(metadata!I94,"10090"))</f>
        <v>0</v>
      </c>
      <c r="AD94">
        <f>OR(AND(IF(metadata!J94="",FALSE,TRUE),OR(exact(metadata!J94,"not applicable"),exact(metadata!J94,"missing: not collected"),exact(metadata!J94,"missing: not provided"),exact(metadata!J94,"missing: restricted access"))),AND(IF(metadata!J94="",FALSE,ISNUMBER(VALUE(metadata!J94))),metadata!J94&gt;0))</f>
        <v>0</v>
      </c>
      <c r="AE94">
        <f>AND(IF(metadata!K94="",FALSE,TRUE),exact(metadata!K94,"g"))</f>
        <v>0</v>
      </c>
    </row>
    <row r="95" spans="1:31">
      <c r="A95" s="5">
        <f>IF(B95=" "," ",HYPERLINK(CONCATENATE("#metadata!",ADDRESS(INDEX($Q$2:$Q$1001,MATCH(ROWS($O$2:O95),$O$2:$O$1001,0),0),1)),INDEX($T$2:$T$1001,MATCH(ROWS($O$2:O95),$O$2:$O$1001,0),0)))</f>
        <v>0</v>
      </c>
      <c r="B95" s="4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4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4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4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4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4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4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4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4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4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OR(AND(IF(metadata!C95="",FALSE,TRUE),OR(exact(metadata!C95,"not applicable"),exact(metadata!C95,"missing: not collected"),exact(metadata!C95,"missing: not provided"),exact(metadata!C95,"missing: restricted access"))),AND(IF(metadata!C95="",FALSE,ISNUMBER(VALUE(metadata!C95))),metadata!C95&gt;0))</f>
        <v>0</v>
      </c>
      <c r="X95">
        <f>AND(IF(metadata!D95="",FALSE,TRUE),exact(metadata!D95,"weeks"))</f>
        <v>0</v>
      </c>
      <c r="Y95">
        <f>AND(IF(metadata!E95="",FALSE,TRUE),exact(metadata!E95,"urban biome"))</f>
        <v>0</v>
      </c>
      <c r="Z95">
        <f>AND(IF(metadata!F95="",FALSE,TRUE),exact(metadata!F95,"animal-associated habitat"))</f>
        <v>0</v>
      </c>
      <c r="AA95">
        <f>AND(IF(metadata!G95="",FALSE,TRUE),exact(metadata!G95,"mouse"))</f>
        <v>0</v>
      </c>
      <c r="AB95">
        <f>AND(IF(metadata!H95="",FALSE,TRUE),exact(metadata!H95,"Mus musculus"))</f>
        <v>0</v>
      </c>
      <c r="AC95">
        <f>AND(IF(metadata!I95="",FALSE,TRUE),exact(metadata!I95,"10090"))</f>
        <v>0</v>
      </c>
      <c r="AD95">
        <f>OR(AND(IF(metadata!J95="",FALSE,TRUE),OR(exact(metadata!J95,"not applicable"),exact(metadata!J95,"missing: not collected"),exact(metadata!J95,"missing: not provided"),exact(metadata!J95,"missing: restricted access"))),AND(IF(metadata!J95="",FALSE,ISNUMBER(VALUE(metadata!J95))),metadata!J95&gt;0))</f>
        <v>0</v>
      </c>
      <c r="AE95">
        <f>AND(IF(metadata!K95="",FALSE,TRUE),exact(metadata!K95,"g"))</f>
        <v>0</v>
      </c>
    </row>
    <row r="96" spans="1:31">
      <c r="A96" s="5">
        <f>IF(B96=" "," ",HYPERLINK(CONCATENATE("#metadata!",ADDRESS(INDEX($Q$2:$Q$1001,MATCH(ROWS($O$2:O96),$O$2:$O$1001,0),0),1)),INDEX($T$2:$T$1001,MATCH(ROWS($O$2:O96),$O$2:$O$1001,0),0)))</f>
        <v>0</v>
      </c>
      <c r="B96" s="4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4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4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4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4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4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4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4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4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4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OR(AND(IF(metadata!C96="",FALSE,TRUE),OR(exact(metadata!C96,"not applicable"),exact(metadata!C96,"missing: not collected"),exact(metadata!C96,"missing: not provided"),exact(metadata!C96,"missing: restricted access"))),AND(IF(metadata!C96="",FALSE,ISNUMBER(VALUE(metadata!C96))),metadata!C96&gt;0))</f>
        <v>0</v>
      </c>
      <c r="X96">
        <f>AND(IF(metadata!D96="",FALSE,TRUE),exact(metadata!D96,"weeks"))</f>
        <v>0</v>
      </c>
      <c r="Y96">
        <f>AND(IF(metadata!E96="",FALSE,TRUE),exact(metadata!E96,"urban biome"))</f>
        <v>0</v>
      </c>
      <c r="Z96">
        <f>AND(IF(metadata!F96="",FALSE,TRUE),exact(metadata!F96,"animal-associated habitat"))</f>
        <v>0</v>
      </c>
      <c r="AA96">
        <f>AND(IF(metadata!G96="",FALSE,TRUE),exact(metadata!G96,"mouse"))</f>
        <v>0</v>
      </c>
      <c r="AB96">
        <f>AND(IF(metadata!H96="",FALSE,TRUE),exact(metadata!H96,"Mus musculus"))</f>
        <v>0</v>
      </c>
      <c r="AC96">
        <f>AND(IF(metadata!I96="",FALSE,TRUE),exact(metadata!I96,"10090"))</f>
        <v>0</v>
      </c>
      <c r="AD96">
        <f>OR(AND(IF(metadata!J96="",FALSE,TRUE),OR(exact(metadata!J96,"not applicable"),exact(metadata!J96,"missing: not collected"),exact(metadata!J96,"missing: not provided"),exact(metadata!J96,"missing: restricted access"))),AND(IF(metadata!J96="",FALSE,ISNUMBER(VALUE(metadata!J96))),metadata!J96&gt;0))</f>
        <v>0</v>
      </c>
      <c r="AE96">
        <f>AND(IF(metadata!K96="",FALSE,TRUE),exact(metadata!K96,"g"))</f>
        <v>0</v>
      </c>
    </row>
    <row r="97" spans="1:31">
      <c r="A97" s="5">
        <f>IF(B97=" "," ",HYPERLINK(CONCATENATE("#metadata!",ADDRESS(INDEX($Q$2:$Q$1001,MATCH(ROWS($O$2:O97),$O$2:$O$1001,0),0),1)),INDEX($T$2:$T$1001,MATCH(ROWS($O$2:O97),$O$2:$O$1001,0),0)))</f>
        <v>0</v>
      </c>
      <c r="B97" s="4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4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4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4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4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4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4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4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4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4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OR(AND(IF(metadata!C97="",FALSE,TRUE),OR(exact(metadata!C97,"not applicable"),exact(metadata!C97,"missing: not collected"),exact(metadata!C97,"missing: not provided"),exact(metadata!C97,"missing: restricted access"))),AND(IF(metadata!C97="",FALSE,ISNUMBER(VALUE(metadata!C97))),metadata!C97&gt;0))</f>
        <v>0</v>
      </c>
      <c r="X97">
        <f>AND(IF(metadata!D97="",FALSE,TRUE),exact(metadata!D97,"weeks"))</f>
        <v>0</v>
      </c>
      <c r="Y97">
        <f>AND(IF(metadata!E97="",FALSE,TRUE),exact(metadata!E97,"urban biome"))</f>
        <v>0</v>
      </c>
      <c r="Z97">
        <f>AND(IF(metadata!F97="",FALSE,TRUE),exact(metadata!F97,"animal-associated habitat"))</f>
        <v>0</v>
      </c>
      <c r="AA97">
        <f>AND(IF(metadata!G97="",FALSE,TRUE),exact(metadata!G97,"mouse"))</f>
        <v>0</v>
      </c>
      <c r="AB97">
        <f>AND(IF(metadata!H97="",FALSE,TRUE),exact(metadata!H97,"Mus musculus"))</f>
        <v>0</v>
      </c>
      <c r="AC97">
        <f>AND(IF(metadata!I97="",FALSE,TRUE),exact(metadata!I97,"10090"))</f>
        <v>0</v>
      </c>
      <c r="AD97">
        <f>OR(AND(IF(metadata!J97="",FALSE,TRUE),OR(exact(metadata!J97,"not applicable"),exact(metadata!J97,"missing: not collected"),exact(metadata!J97,"missing: not provided"),exact(metadata!J97,"missing: restricted access"))),AND(IF(metadata!J97="",FALSE,ISNUMBER(VALUE(metadata!J97))),metadata!J97&gt;0))</f>
        <v>0</v>
      </c>
      <c r="AE97">
        <f>AND(IF(metadata!K97="",FALSE,TRUE),exact(metadata!K97,"g"))</f>
        <v>0</v>
      </c>
    </row>
    <row r="98" spans="1:31">
      <c r="A98" s="5">
        <f>IF(B98=" "," ",HYPERLINK(CONCATENATE("#metadata!",ADDRESS(INDEX($Q$2:$Q$1001,MATCH(ROWS($O$2:O98),$O$2:$O$1001,0),0),1)),INDEX($T$2:$T$1001,MATCH(ROWS($O$2:O98),$O$2:$O$1001,0),0)))</f>
        <v>0</v>
      </c>
      <c r="B98" s="4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4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4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4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4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4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4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4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4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4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OR(AND(IF(metadata!C98="",FALSE,TRUE),OR(exact(metadata!C98,"not applicable"),exact(metadata!C98,"missing: not collected"),exact(metadata!C98,"missing: not provided"),exact(metadata!C98,"missing: restricted access"))),AND(IF(metadata!C98="",FALSE,ISNUMBER(VALUE(metadata!C98))),metadata!C98&gt;0))</f>
        <v>0</v>
      </c>
      <c r="X98">
        <f>AND(IF(metadata!D98="",FALSE,TRUE),exact(metadata!D98,"weeks"))</f>
        <v>0</v>
      </c>
      <c r="Y98">
        <f>AND(IF(metadata!E98="",FALSE,TRUE),exact(metadata!E98,"urban biome"))</f>
        <v>0</v>
      </c>
      <c r="Z98">
        <f>AND(IF(metadata!F98="",FALSE,TRUE),exact(metadata!F98,"animal-associated habitat"))</f>
        <v>0</v>
      </c>
      <c r="AA98">
        <f>AND(IF(metadata!G98="",FALSE,TRUE),exact(metadata!G98,"mouse"))</f>
        <v>0</v>
      </c>
      <c r="AB98">
        <f>AND(IF(metadata!H98="",FALSE,TRUE),exact(metadata!H98,"Mus musculus"))</f>
        <v>0</v>
      </c>
      <c r="AC98">
        <f>AND(IF(metadata!I98="",FALSE,TRUE),exact(metadata!I98,"10090"))</f>
        <v>0</v>
      </c>
      <c r="AD98">
        <f>OR(AND(IF(metadata!J98="",FALSE,TRUE),OR(exact(metadata!J98,"not applicable"),exact(metadata!J98,"missing: not collected"),exact(metadata!J98,"missing: not provided"),exact(metadata!J98,"missing: restricted access"))),AND(IF(metadata!J98="",FALSE,ISNUMBER(VALUE(metadata!J98))),metadata!J98&gt;0))</f>
        <v>0</v>
      </c>
      <c r="AE98">
        <f>AND(IF(metadata!K98="",FALSE,TRUE),exact(metadata!K98,"g"))</f>
        <v>0</v>
      </c>
    </row>
    <row r="99" spans="1:31">
      <c r="A99" s="5">
        <f>IF(B99=" "," ",HYPERLINK(CONCATENATE("#metadata!",ADDRESS(INDEX($Q$2:$Q$1001,MATCH(ROWS($O$2:O99),$O$2:$O$1001,0),0),1)),INDEX($T$2:$T$1001,MATCH(ROWS($O$2:O99),$O$2:$O$1001,0),0)))</f>
        <v>0</v>
      </c>
      <c r="B99" s="4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4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4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4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4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4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4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4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4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4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OR(AND(IF(metadata!C99="",FALSE,TRUE),OR(exact(metadata!C99,"not applicable"),exact(metadata!C99,"missing: not collected"),exact(metadata!C99,"missing: not provided"),exact(metadata!C99,"missing: restricted access"))),AND(IF(metadata!C99="",FALSE,ISNUMBER(VALUE(metadata!C99))),metadata!C99&gt;0))</f>
        <v>0</v>
      </c>
      <c r="X99">
        <f>AND(IF(metadata!D99="",FALSE,TRUE),exact(metadata!D99,"weeks"))</f>
        <v>0</v>
      </c>
      <c r="Y99">
        <f>AND(IF(metadata!E99="",FALSE,TRUE),exact(metadata!E99,"urban biome"))</f>
        <v>0</v>
      </c>
      <c r="Z99">
        <f>AND(IF(metadata!F99="",FALSE,TRUE),exact(metadata!F99,"animal-associated habitat"))</f>
        <v>0</v>
      </c>
      <c r="AA99">
        <f>AND(IF(metadata!G99="",FALSE,TRUE),exact(metadata!G99,"mouse"))</f>
        <v>0</v>
      </c>
      <c r="AB99">
        <f>AND(IF(metadata!H99="",FALSE,TRUE),exact(metadata!H99,"Mus musculus"))</f>
        <v>0</v>
      </c>
      <c r="AC99">
        <f>AND(IF(metadata!I99="",FALSE,TRUE),exact(metadata!I99,"10090"))</f>
        <v>0</v>
      </c>
      <c r="AD99">
        <f>OR(AND(IF(metadata!J99="",FALSE,TRUE),OR(exact(metadata!J99,"not applicable"),exact(metadata!J99,"missing: not collected"),exact(metadata!J99,"missing: not provided"),exact(metadata!J99,"missing: restricted access"))),AND(IF(metadata!J99="",FALSE,ISNUMBER(VALUE(metadata!J99))),metadata!J99&gt;0))</f>
        <v>0</v>
      </c>
      <c r="AE99">
        <f>AND(IF(metadata!K99="",FALSE,TRUE),exact(metadata!K99,"g"))</f>
        <v>0</v>
      </c>
    </row>
    <row r="100" spans="1:31">
      <c r="A100" s="5">
        <f>IF(B100=" "," ",HYPERLINK(CONCATENATE("#metadata!",ADDRESS(INDEX($Q$2:$Q$1001,MATCH(ROWS($O$2:O100),$O$2:$O$1001,0),0),1)),INDEX($T$2:$T$1001,MATCH(ROWS($O$2:O100),$O$2:$O$1001,0),0)))</f>
        <v>0</v>
      </c>
      <c r="B100" s="4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4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4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4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4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4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4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4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4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4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OR(AND(IF(metadata!C100="",FALSE,TRUE),OR(exact(metadata!C100,"not applicable"),exact(metadata!C100,"missing: not collected"),exact(metadata!C100,"missing: not provided"),exact(metadata!C100,"missing: restricted access"))),AND(IF(metadata!C100="",FALSE,ISNUMBER(VALUE(metadata!C100))),metadata!C100&gt;0))</f>
        <v>0</v>
      </c>
      <c r="X100">
        <f>AND(IF(metadata!D100="",FALSE,TRUE),exact(metadata!D100,"weeks"))</f>
        <v>0</v>
      </c>
      <c r="Y100">
        <f>AND(IF(metadata!E100="",FALSE,TRUE),exact(metadata!E100,"urban biome"))</f>
        <v>0</v>
      </c>
      <c r="Z100">
        <f>AND(IF(metadata!F100="",FALSE,TRUE),exact(metadata!F100,"animal-associated habitat"))</f>
        <v>0</v>
      </c>
      <c r="AA100">
        <f>AND(IF(metadata!G100="",FALSE,TRUE),exact(metadata!G100,"mouse"))</f>
        <v>0</v>
      </c>
      <c r="AB100">
        <f>AND(IF(metadata!H100="",FALSE,TRUE),exact(metadata!H100,"Mus musculus"))</f>
        <v>0</v>
      </c>
      <c r="AC100">
        <f>AND(IF(metadata!I100="",FALSE,TRUE),exact(metadata!I100,"10090"))</f>
        <v>0</v>
      </c>
      <c r="AD100">
        <f>OR(AND(IF(metadata!J100="",FALSE,TRUE),OR(exact(metadata!J100,"not applicable"),exact(metadata!J100,"missing: not collected"),exact(metadata!J100,"missing: not provided"),exact(metadata!J100,"missing: restricted access"))),AND(IF(metadata!J100="",FALSE,ISNUMBER(VALUE(metadata!J100))),metadata!J100&gt;0))</f>
        <v>0</v>
      </c>
      <c r="AE100">
        <f>AND(IF(metadata!K100="",FALSE,TRUE),exact(metadata!K100,"g"))</f>
        <v>0</v>
      </c>
    </row>
    <row r="101" spans="1:31">
      <c r="A101" s="5">
        <f>IF(B101=" "," ",HYPERLINK(CONCATENATE("#metadata!",ADDRESS(INDEX($Q$2:$Q$1001,MATCH(ROWS($O$2:O101),$O$2:$O$1001,0),0),1)),INDEX($T$2:$T$1001,MATCH(ROWS($O$2:O101),$O$2:$O$1001,0),0)))</f>
        <v>0</v>
      </c>
      <c r="B101" s="4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4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4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4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4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4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4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4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4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4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OR(AND(IF(metadata!C101="",FALSE,TRUE),OR(exact(metadata!C101,"not applicable"),exact(metadata!C101,"missing: not collected"),exact(metadata!C101,"missing: not provided"),exact(metadata!C101,"missing: restricted access"))),AND(IF(metadata!C101="",FALSE,ISNUMBER(VALUE(metadata!C101))),metadata!C101&gt;0))</f>
        <v>0</v>
      </c>
      <c r="X101">
        <f>AND(IF(metadata!D101="",FALSE,TRUE),exact(metadata!D101,"weeks"))</f>
        <v>0</v>
      </c>
      <c r="Y101">
        <f>AND(IF(metadata!E101="",FALSE,TRUE),exact(metadata!E101,"urban biome"))</f>
        <v>0</v>
      </c>
      <c r="Z101">
        <f>AND(IF(metadata!F101="",FALSE,TRUE),exact(metadata!F101,"animal-associated habitat"))</f>
        <v>0</v>
      </c>
      <c r="AA101">
        <f>AND(IF(metadata!G101="",FALSE,TRUE),exact(metadata!G101,"mouse"))</f>
        <v>0</v>
      </c>
      <c r="AB101">
        <f>AND(IF(metadata!H101="",FALSE,TRUE),exact(metadata!H101,"Mus musculus"))</f>
        <v>0</v>
      </c>
      <c r="AC101">
        <f>AND(IF(metadata!I101="",FALSE,TRUE),exact(metadata!I101,"10090"))</f>
        <v>0</v>
      </c>
      <c r="AD101">
        <f>OR(AND(IF(metadata!J101="",FALSE,TRUE),OR(exact(metadata!J101,"not applicable"),exact(metadata!J101,"missing: not collected"),exact(metadata!J101,"missing: not provided"),exact(metadata!J101,"missing: restricted access"))),AND(IF(metadata!J101="",FALSE,ISNUMBER(VALUE(metadata!J101))),metadata!J101&gt;0))</f>
        <v>0</v>
      </c>
      <c r="AE101">
        <f>AND(IF(metadata!K101="",FALSE,TRUE),exact(metadata!K101,"g"))</f>
        <v>0</v>
      </c>
    </row>
    <row r="102" spans="1:31">
      <c r="A102" s="5">
        <f>IF(B102=" "," ",HYPERLINK(CONCATENATE("#metadata!",ADDRESS(INDEX($Q$2:$Q$1001,MATCH(ROWS($O$2:O102),$O$2:$O$1001,0),0),1)),INDEX($T$2:$T$1001,MATCH(ROWS($O$2:O102),$O$2:$O$1001,0),0)))</f>
        <v>0</v>
      </c>
      <c r="B102" s="4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4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4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4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4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4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4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4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4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4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OR(AND(IF(metadata!C102="",FALSE,TRUE),OR(exact(metadata!C102,"not applicable"),exact(metadata!C102,"missing: not collected"),exact(metadata!C102,"missing: not provided"),exact(metadata!C102,"missing: restricted access"))),AND(IF(metadata!C102="",FALSE,ISNUMBER(VALUE(metadata!C102))),metadata!C102&gt;0))</f>
        <v>0</v>
      </c>
      <c r="X102">
        <f>AND(IF(metadata!D102="",FALSE,TRUE),exact(metadata!D102,"weeks"))</f>
        <v>0</v>
      </c>
      <c r="Y102">
        <f>AND(IF(metadata!E102="",FALSE,TRUE),exact(metadata!E102,"urban biome"))</f>
        <v>0</v>
      </c>
      <c r="Z102">
        <f>AND(IF(metadata!F102="",FALSE,TRUE),exact(metadata!F102,"animal-associated habitat"))</f>
        <v>0</v>
      </c>
      <c r="AA102">
        <f>AND(IF(metadata!G102="",FALSE,TRUE),exact(metadata!G102,"mouse"))</f>
        <v>0</v>
      </c>
      <c r="AB102">
        <f>AND(IF(metadata!H102="",FALSE,TRUE),exact(metadata!H102,"Mus musculus"))</f>
        <v>0</v>
      </c>
      <c r="AC102">
        <f>AND(IF(metadata!I102="",FALSE,TRUE),exact(metadata!I102,"10090"))</f>
        <v>0</v>
      </c>
      <c r="AD102">
        <f>OR(AND(IF(metadata!J102="",FALSE,TRUE),OR(exact(metadata!J102,"not applicable"),exact(metadata!J102,"missing: not collected"),exact(metadata!J102,"missing: not provided"),exact(metadata!J102,"missing: restricted access"))),AND(IF(metadata!J102="",FALSE,ISNUMBER(VALUE(metadata!J102))),metadata!J102&gt;0))</f>
        <v>0</v>
      </c>
      <c r="AE102">
        <f>AND(IF(metadata!K102="",FALSE,TRUE),exact(metadata!K102,"g"))</f>
        <v>0</v>
      </c>
    </row>
    <row r="103" spans="1:31">
      <c r="A103" s="5">
        <f>IF(B103=" "," ",HYPERLINK(CONCATENATE("#metadata!",ADDRESS(INDEX($Q$2:$Q$1001,MATCH(ROWS($O$2:O103),$O$2:$O$1001,0),0),1)),INDEX($T$2:$T$1001,MATCH(ROWS($O$2:O103),$O$2:$O$1001,0),0)))</f>
        <v>0</v>
      </c>
      <c r="B103" s="4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4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4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4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4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4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4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4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4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4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OR(AND(IF(metadata!C103="",FALSE,TRUE),OR(exact(metadata!C103,"not applicable"),exact(metadata!C103,"missing: not collected"),exact(metadata!C103,"missing: not provided"),exact(metadata!C103,"missing: restricted access"))),AND(IF(metadata!C103="",FALSE,ISNUMBER(VALUE(metadata!C103))),metadata!C103&gt;0))</f>
        <v>0</v>
      </c>
      <c r="X103">
        <f>AND(IF(metadata!D103="",FALSE,TRUE),exact(metadata!D103,"weeks"))</f>
        <v>0</v>
      </c>
      <c r="Y103">
        <f>AND(IF(metadata!E103="",FALSE,TRUE),exact(metadata!E103,"urban biome"))</f>
        <v>0</v>
      </c>
      <c r="Z103">
        <f>AND(IF(metadata!F103="",FALSE,TRUE),exact(metadata!F103,"animal-associated habitat"))</f>
        <v>0</v>
      </c>
      <c r="AA103">
        <f>AND(IF(metadata!G103="",FALSE,TRUE),exact(metadata!G103,"mouse"))</f>
        <v>0</v>
      </c>
      <c r="AB103">
        <f>AND(IF(metadata!H103="",FALSE,TRUE),exact(metadata!H103,"Mus musculus"))</f>
        <v>0</v>
      </c>
      <c r="AC103">
        <f>AND(IF(metadata!I103="",FALSE,TRUE),exact(metadata!I103,"10090"))</f>
        <v>0</v>
      </c>
      <c r="AD103">
        <f>OR(AND(IF(metadata!J103="",FALSE,TRUE),OR(exact(metadata!J103,"not applicable"),exact(metadata!J103,"missing: not collected"),exact(metadata!J103,"missing: not provided"),exact(metadata!J103,"missing: restricted access"))),AND(IF(metadata!J103="",FALSE,ISNUMBER(VALUE(metadata!J103))),metadata!J103&gt;0))</f>
        <v>0</v>
      </c>
      <c r="AE103">
        <f>AND(IF(metadata!K103="",FALSE,TRUE),exact(metadata!K103,"g"))</f>
        <v>0</v>
      </c>
    </row>
    <row r="104" spans="1:31">
      <c r="A104" s="5">
        <f>IF(B104=" "," ",HYPERLINK(CONCATENATE("#metadata!",ADDRESS(INDEX($Q$2:$Q$1001,MATCH(ROWS($O$2:O104),$O$2:$O$1001,0),0),1)),INDEX($T$2:$T$1001,MATCH(ROWS($O$2:O104),$O$2:$O$1001,0),0)))</f>
        <v>0</v>
      </c>
      <c r="B104" s="4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4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4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4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4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4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4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4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4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4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OR(AND(IF(metadata!C104="",FALSE,TRUE),OR(exact(metadata!C104,"not applicable"),exact(metadata!C104,"missing: not collected"),exact(metadata!C104,"missing: not provided"),exact(metadata!C104,"missing: restricted access"))),AND(IF(metadata!C104="",FALSE,ISNUMBER(VALUE(metadata!C104))),metadata!C104&gt;0))</f>
        <v>0</v>
      </c>
      <c r="X104">
        <f>AND(IF(metadata!D104="",FALSE,TRUE),exact(metadata!D104,"weeks"))</f>
        <v>0</v>
      </c>
      <c r="Y104">
        <f>AND(IF(metadata!E104="",FALSE,TRUE),exact(metadata!E104,"urban biome"))</f>
        <v>0</v>
      </c>
      <c r="Z104">
        <f>AND(IF(metadata!F104="",FALSE,TRUE),exact(metadata!F104,"animal-associated habitat"))</f>
        <v>0</v>
      </c>
      <c r="AA104">
        <f>AND(IF(metadata!G104="",FALSE,TRUE),exact(metadata!G104,"mouse"))</f>
        <v>0</v>
      </c>
      <c r="AB104">
        <f>AND(IF(metadata!H104="",FALSE,TRUE),exact(metadata!H104,"Mus musculus"))</f>
        <v>0</v>
      </c>
      <c r="AC104">
        <f>AND(IF(metadata!I104="",FALSE,TRUE),exact(metadata!I104,"10090"))</f>
        <v>0</v>
      </c>
      <c r="AD104">
        <f>OR(AND(IF(metadata!J104="",FALSE,TRUE),OR(exact(metadata!J104,"not applicable"),exact(metadata!J104,"missing: not collected"),exact(metadata!J104,"missing: not provided"),exact(metadata!J104,"missing: restricted access"))),AND(IF(metadata!J104="",FALSE,ISNUMBER(VALUE(metadata!J104))),metadata!J104&gt;0))</f>
        <v>0</v>
      </c>
      <c r="AE104">
        <f>AND(IF(metadata!K104="",FALSE,TRUE),exact(metadata!K104,"g"))</f>
        <v>0</v>
      </c>
    </row>
    <row r="105" spans="1:31">
      <c r="A105" s="5">
        <f>IF(B105=" "," ",HYPERLINK(CONCATENATE("#metadata!",ADDRESS(INDEX($Q$2:$Q$1001,MATCH(ROWS($O$2:O105),$O$2:$O$1001,0),0),1)),INDEX($T$2:$T$1001,MATCH(ROWS($O$2:O105),$O$2:$O$1001,0),0)))</f>
        <v>0</v>
      </c>
      <c r="B105" s="4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4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4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4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4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4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4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4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4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4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OR(AND(IF(metadata!C105="",FALSE,TRUE),OR(exact(metadata!C105,"not applicable"),exact(metadata!C105,"missing: not collected"),exact(metadata!C105,"missing: not provided"),exact(metadata!C105,"missing: restricted access"))),AND(IF(metadata!C105="",FALSE,ISNUMBER(VALUE(metadata!C105))),metadata!C105&gt;0))</f>
        <v>0</v>
      </c>
      <c r="X105">
        <f>AND(IF(metadata!D105="",FALSE,TRUE),exact(metadata!D105,"weeks"))</f>
        <v>0</v>
      </c>
      <c r="Y105">
        <f>AND(IF(metadata!E105="",FALSE,TRUE),exact(metadata!E105,"urban biome"))</f>
        <v>0</v>
      </c>
      <c r="Z105">
        <f>AND(IF(metadata!F105="",FALSE,TRUE),exact(metadata!F105,"animal-associated habitat"))</f>
        <v>0</v>
      </c>
      <c r="AA105">
        <f>AND(IF(metadata!G105="",FALSE,TRUE),exact(metadata!G105,"mouse"))</f>
        <v>0</v>
      </c>
      <c r="AB105">
        <f>AND(IF(metadata!H105="",FALSE,TRUE),exact(metadata!H105,"Mus musculus"))</f>
        <v>0</v>
      </c>
      <c r="AC105">
        <f>AND(IF(metadata!I105="",FALSE,TRUE),exact(metadata!I105,"10090"))</f>
        <v>0</v>
      </c>
      <c r="AD105">
        <f>OR(AND(IF(metadata!J105="",FALSE,TRUE),OR(exact(metadata!J105,"not applicable"),exact(metadata!J105,"missing: not collected"),exact(metadata!J105,"missing: not provided"),exact(metadata!J105,"missing: restricted access"))),AND(IF(metadata!J105="",FALSE,ISNUMBER(VALUE(metadata!J105))),metadata!J105&gt;0))</f>
        <v>0</v>
      </c>
      <c r="AE105">
        <f>AND(IF(metadata!K105="",FALSE,TRUE),exact(metadata!K105,"g"))</f>
        <v>0</v>
      </c>
    </row>
    <row r="106" spans="1:31">
      <c r="A106" s="5">
        <f>IF(B106=" "," ",HYPERLINK(CONCATENATE("#metadata!",ADDRESS(INDEX($Q$2:$Q$1001,MATCH(ROWS($O$2:O106),$O$2:$O$1001,0),0),1)),INDEX($T$2:$T$1001,MATCH(ROWS($O$2:O106),$O$2:$O$1001,0),0)))</f>
        <v>0</v>
      </c>
      <c r="B106" s="4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4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4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4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4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4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4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4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4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4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OR(AND(IF(metadata!C106="",FALSE,TRUE),OR(exact(metadata!C106,"not applicable"),exact(metadata!C106,"missing: not collected"),exact(metadata!C106,"missing: not provided"),exact(metadata!C106,"missing: restricted access"))),AND(IF(metadata!C106="",FALSE,ISNUMBER(VALUE(metadata!C106))),metadata!C106&gt;0))</f>
        <v>0</v>
      </c>
      <c r="X106">
        <f>AND(IF(metadata!D106="",FALSE,TRUE),exact(metadata!D106,"weeks"))</f>
        <v>0</v>
      </c>
      <c r="Y106">
        <f>AND(IF(metadata!E106="",FALSE,TRUE),exact(metadata!E106,"urban biome"))</f>
        <v>0</v>
      </c>
      <c r="Z106">
        <f>AND(IF(metadata!F106="",FALSE,TRUE),exact(metadata!F106,"animal-associated habitat"))</f>
        <v>0</v>
      </c>
      <c r="AA106">
        <f>AND(IF(metadata!G106="",FALSE,TRUE),exact(metadata!G106,"mouse"))</f>
        <v>0</v>
      </c>
      <c r="AB106">
        <f>AND(IF(metadata!H106="",FALSE,TRUE),exact(metadata!H106,"Mus musculus"))</f>
        <v>0</v>
      </c>
      <c r="AC106">
        <f>AND(IF(metadata!I106="",FALSE,TRUE),exact(metadata!I106,"10090"))</f>
        <v>0</v>
      </c>
      <c r="AD106">
        <f>OR(AND(IF(metadata!J106="",FALSE,TRUE),OR(exact(metadata!J106,"not applicable"),exact(metadata!J106,"missing: not collected"),exact(metadata!J106,"missing: not provided"),exact(metadata!J106,"missing: restricted access"))),AND(IF(metadata!J106="",FALSE,ISNUMBER(VALUE(metadata!J106))),metadata!J106&gt;0))</f>
        <v>0</v>
      </c>
      <c r="AE106">
        <f>AND(IF(metadata!K106="",FALSE,TRUE),exact(metadata!K106,"g"))</f>
        <v>0</v>
      </c>
    </row>
    <row r="107" spans="1:31">
      <c r="A107" s="5">
        <f>IF(B107=" "," ",HYPERLINK(CONCATENATE("#metadata!",ADDRESS(INDEX($Q$2:$Q$1001,MATCH(ROWS($O$2:O107),$O$2:$O$1001,0),0),1)),INDEX($T$2:$T$1001,MATCH(ROWS($O$2:O107),$O$2:$O$1001,0),0)))</f>
        <v>0</v>
      </c>
      <c r="B107" s="4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4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4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4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4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4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4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4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4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4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OR(AND(IF(metadata!C107="",FALSE,TRUE),OR(exact(metadata!C107,"not applicable"),exact(metadata!C107,"missing: not collected"),exact(metadata!C107,"missing: not provided"),exact(metadata!C107,"missing: restricted access"))),AND(IF(metadata!C107="",FALSE,ISNUMBER(VALUE(metadata!C107))),metadata!C107&gt;0))</f>
        <v>0</v>
      </c>
      <c r="X107">
        <f>AND(IF(metadata!D107="",FALSE,TRUE),exact(metadata!D107,"weeks"))</f>
        <v>0</v>
      </c>
      <c r="Y107">
        <f>AND(IF(metadata!E107="",FALSE,TRUE),exact(metadata!E107,"urban biome"))</f>
        <v>0</v>
      </c>
      <c r="Z107">
        <f>AND(IF(metadata!F107="",FALSE,TRUE),exact(metadata!F107,"animal-associated habitat"))</f>
        <v>0</v>
      </c>
      <c r="AA107">
        <f>AND(IF(metadata!G107="",FALSE,TRUE),exact(metadata!G107,"mouse"))</f>
        <v>0</v>
      </c>
      <c r="AB107">
        <f>AND(IF(metadata!H107="",FALSE,TRUE),exact(metadata!H107,"Mus musculus"))</f>
        <v>0</v>
      </c>
      <c r="AC107">
        <f>AND(IF(metadata!I107="",FALSE,TRUE),exact(metadata!I107,"10090"))</f>
        <v>0</v>
      </c>
      <c r="AD107">
        <f>OR(AND(IF(metadata!J107="",FALSE,TRUE),OR(exact(metadata!J107,"not applicable"),exact(metadata!J107,"missing: not collected"),exact(metadata!J107,"missing: not provided"),exact(metadata!J107,"missing: restricted access"))),AND(IF(metadata!J107="",FALSE,ISNUMBER(VALUE(metadata!J107))),metadata!J107&gt;0))</f>
        <v>0</v>
      </c>
      <c r="AE107">
        <f>AND(IF(metadata!K107="",FALSE,TRUE),exact(metadata!K107,"g"))</f>
        <v>0</v>
      </c>
    </row>
    <row r="108" spans="1:31">
      <c r="A108" s="5">
        <f>IF(B108=" "," ",HYPERLINK(CONCATENATE("#metadata!",ADDRESS(INDEX($Q$2:$Q$1001,MATCH(ROWS($O$2:O108),$O$2:$O$1001,0),0),1)),INDEX($T$2:$T$1001,MATCH(ROWS($O$2:O108),$O$2:$O$1001,0),0)))</f>
        <v>0</v>
      </c>
      <c r="B108" s="4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4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4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4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4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4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4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4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4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4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OR(AND(IF(metadata!C108="",FALSE,TRUE),OR(exact(metadata!C108,"not applicable"),exact(metadata!C108,"missing: not collected"),exact(metadata!C108,"missing: not provided"),exact(metadata!C108,"missing: restricted access"))),AND(IF(metadata!C108="",FALSE,ISNUMBER(VALUE(metadata!C108))),metadata!C108&gt;0))</f>
        <v>0</v>
      </c>
      <c r="X108">
        <f>AND(IF(metadata!D108="",FALSE,TRUE),exact(metadata!D108,"weeks"))</f>
        <v>0</v>
      </c>
      <c r="Y108">
        <f>AND(IF(metadata!E108="",FALSE,TRUE),exact(metadata!E108,"urban biome"))</f>
        <v>0</v>
      </c>
      <c r="Z108">
        <f>AND(IF(metadata!F108="",FALSE,TRUE),exact(metadata!F108,"animal-associated habitat"))</f>
        <v>0</v>
      </c>
      <c r="AA108">
        <f>AND(IF(metadata!G108="",FALSE,TRUE),exact(metadata!G108,"mouse"))</f>
        <v>0</v>
      </c>
      <c r="AB108">
        <f>AND(IF(metadata!H108="",FALSE,TRUE),exact(metadata!H108,"Mus musculus"))</f>
        <v>0</v>
      </c>
      <c r="AC108">
        <f>AND(IF(metadata!I108="",FALSE,TRUE),exact(metadata!I108,"10090"))</f>
        <v>0</v>
      </c>
      <c r="AD108">
        <f>OR(AND(IF(metadata!J108="",FALSE,TRUE),OR(exact(metadata!J108,"not applicable"),exact(metadata!J108,"missing: not collected"),exact(metadata!J108,"missing: not provided"),exact(metadata!J108,"missing: restricted access"))),AND(IF(metadata!J108="",FALSE,ISNUMBER(VALUE(metadata!J108))),metadata!J108&gt;0))</f>
        <v>0</v>
      </c>
      <c r="AE108">
        <f>AND(IF(metadata!K108="",FALSE,TRUE),exact(metadata!K108,"g"))</f>
        <v>0</v>
      </c>
    </row>
    <row r="109" spans="1:31">
      <c r="A109" s="5">
        <f>IF(B109=" "," ",HYPERLINK(CONCATENATE("#metadata!",ADDRESS(INDEX($Q$2:$Q$1001,MATCH(ROWS($O$2:O109),$O$2:$O$1001,0),0),1)),INDEX($T$2:$T$1001,MATCH(ROWS($O$2:O109),$O$2:$O$1001,0),0)))</f>
        <v>0</v>
      </c>
      <c r="B109" s="4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4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4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4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4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4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4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4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4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4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OR(AND(IF(metadata!C109="",FALSE,TRUE),OR(exact(metadata!C109,"not applicable"),exact(metadata!C109,"missing: not collected"),exact(metadata!C109,"missing: not provided"),exact(metadata!C109,"missing: restricted access"))),AND(IF(metadata!C109="",FALSE,ISNUMBER(VALUE(metadata!C109))),metadata!C109&gt;0))</f>
        <v>0</v>
      </c>
      <c r="X109">
        <f>AND(IF(metadata!D109="",FALSE,TRUE),exact(metadata!D109,"weeks"))</f>
        <v>0</v>
      </c>
      <c r="Y109">
        <f>AND(IF(metadata!E109="",FALSE,TRUE),exact(metadata!E109,"urban biome"))</f>
        <v>0</v>
      </c>
      <c r="Z109">
        <f>AND(IF(metadata!F109="",FALSE,TRUE),exact(metadata!F109,"animal-associated habitat"))</f>
        <v>0</v>
      </c>
      <c r="AA109">
        <f>AND(IF(metadata!G109="",FALSE,TRUE),exact(metadata!G109,"mouse"))</f>
        <v>0</v>
      </c>
      <c r="AB109">
        <f>AND(IF(metadata!H109="",FALSE,TRUE),exact(metadata!H109,"Mus musculus"))</f>
        <v>0</v>
      </c>
      <c r="AC109">
        <f>AND(IF(metadata!I109="",FALSE,TRUE),exact(metadata!I109,"10090"))</f>
        <v>0</v>
      </c>
      <c r="AD109">
        <f>OR(AND(IF(metadata!J109="",FALSE,TRUE),OR(exact(metadata!J109,"not applicable"),exact(metadata!J109,"missing: not collected"),exact(metadata!J109,"missing: not provided"),exact(metadata!J109,"missing: restricted access"))),AND(IF(metadata!J109="",FALSE,ISNUMBER(VALUE(metadata!J109))),metadata!J109&gt;0))</f>
        <v>0</v>
      </c>
      <c r="AE109">
        <f>AND(IF(metadata!K109="",FALSE,TRUE),exact(metadata!K109,"g"))</f>
        <v>0</v>
      </c>
    </row>
    <row r="110" spans="1:31">
      <c r="A110" s="5">
        <f>IF(B110=" "," ",HYPERLINK(CONCATENATE("#metadata!",ADDRESS(INDEX($Q$2:$Q$1001,MATCH(ROWS($O$2:O110),$O$2:$O$1001,0),0),1)),INDEX($T$2:$T$1001,MATCH(ROWS($O$2:O110),$O$2:$O$1001,0),0)))</f>
        <v>0</v>
      </c>
      <c r="B110" s="4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4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4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4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4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4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4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4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4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4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OR(AND(IF(metadata!C110="",FALSE,TRUE),OR(exact(metadata!C110,"not applicable"),exact(metadata!C110,"missing: not collected"),exact(metadata!C110,"missing: not provided"),exact(metadata!C110,"missing: restricted access"))),AND(IF(metadata!C110="",FALSE,ISNUMBER(VALUE(metadata!C110))),metadata!C110&gt;0))</f>
        <v>0</v>
      </c>
      <c r="X110">
        <f>AND(IF(metadata!D110="",FALSE,TRUE),exact(metadata!D110,"weeks"))</f>
        <v>0</v>
      </c>
      <c r="Y110">
        <f>AND(IF(metadata!E110="",FALSE,TRUE),exact(metadata!E110,"urban biome"))</f>
        <v>0</v>
      </c>
      <c r="Z110">
        <f>AND(IF(metadata!F110="",FALSE,TRUE),exact(metadata!F110,"animal-associated habitat"))</f>
        <v>0</v>
      </c>
      <c r="AA110">
        <f>AND(IF(metadata!G110="",FALSE,TRUE),exact(metadata!G110,"mouse"))</f>
        <v>0</v>
      </c>
      <c r="AB110">
        <f>AND(IF(metadata!H110="",FALSE,TRUE),exact(metadata!H110,"Mus musculus"))</f>
        <v>0</v>
      </c>
      <c r="AC110">
        <f>AND(IF(metadata!I110="",FALSE,TRUE),exact(metadata!I110,"10090"))</f>
        <v>0</v>
      </c>
      <c r="AD110">
        <f>OR(AND(IF(metadata!J110="",FALSE,TRUE),OR(exact(metadata!J110,"not applicable"),exact(metadata!J110,"missing: not collected"),exact(metadata!J110,"missing: not provided"),exact(metadata!J110,"missing: restricted access"))),AND(IF(metadata!J110="",FALSE,ISNUMBER(VALUE(metadata!J110))),metadata!J110&gt;0))</f>
        <v>0</v>
      </c>
      <c r="AE110">
        <f>AND(IF(metadata!K110="",FALSE,TRUE),exact(metadata!K110,"g"))</f>
        <v>0</v>
      </c>
    </row>
    <row r="111" spans="1:31">
      <c r="A111" s="5">
        <f>IF(B111=" "," ",HYPERLINK(CONCATENATE("#metadata!",ADDRESS(INDEX($Q$2:$Q$1001,MATCH(ROWS($O$2:O111),$O$2:$O$1001,0),0),1)),INDEX($T$2:$T$1001,MATCH(ROWS($O$2:O111),$O$2:$O$1001,0),0)))</f>
        <v>0</v>
      </c>
      <c r="B111" s="4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4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4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4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4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4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4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4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4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4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OR(AND(IF(metadata!C111="",FALSE,TRUE),OR(exact(metadata!C111,"not applicable"),exact(metadata!C111,"missing: not collected"),exact(metadata!C111,"missing: not provided"),exact(metadata!C111,"missing: restricted access"))),AND(IF(metadata!C111="",FALSE,ISNUMBER(VALUE(metadata!C111))),metadata!C111&gt;0))</f>
        <v>0</v>
      </c>
      <c r="X111">
        <f>AND(IF(metadata!D111="",FALSE,TRUE),exact(metadata!D111,"weeks"))</f>
        <v>0</v>
      </c>
      <c r="Y111">
        <f>AND(IF(metadata!E111="",FALSE,TRUE),exact(metadata!E111,"urban biome"))</f>
        <v>0</v>
      </c>
      <c r="Z111">
        <f>AND(IF(metadata!F111="",FALSE,TRUE),exact(metadata!F111,"animal-associated habitat"))</f>
        <v>0</v>
      </c>
      <c r="AA111">
        <f>AND(IF(metadata!G111="",FALSE,TRUE),exact(metadata!G111,"mouse"))</f>
        <v>0</v>
      </c>
      <c r="AB111">
        <f>AND(IF(metadata!H111="",FALSE,TRUE),exact(metadata!H111,"Mus musculus"))</f>
        <v>0</v>
      </c>
      <c r="AC111">
        <f>AND(IF(metadata!I111="",FALSE,TRUE),exact(metadata!I111,"10090"))</f>
        <v>0</v>
      </c>
      <c r="AD111">
        <f>OR(AND(IF(metadata!J111="",FALSE,TRUE),OR(exact(metadata!J111,"not applicable"),exact(metadata!J111,"missing: not collected"),exact(metadata!J111,"missing: not provided"),exact(metadata!J111,"missing: restricted access"))),AND(IF(metadata!J111="",FALSE,ISNUMBER(VALUE(metadata!J111))),metadata!J111&gt;0))</f>
        <v>0</v>
      </c>
      <c r="AE111">
        <f>AND(IF(metadata!K111="",FALSE,TRUE),exact(metadata!K111,"g"))</f>
        <v>0</v>
      </c>
    </row>
    <row r="112" spans="1:31">
      <c r="A112" s="5">
        <f>IF(B112=" "," ",HYPERLINK(CONCATENATE("#metadata!",ADDRESS(INDEX($Q$2:$Q$1001,MATCH(ROWS($O$2:O112),$O$2:$O$1001,0),0),1)),INDEX($T$2:$T$1001,MATCH(ROWS($O$2:O112),$O$2:$O$1001,0),0)))</f>
        <v>0</v>
      </c>
      <c r="B112" s="4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4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4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4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4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4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4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4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4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4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OR(AND(IF(metadata!C112="",FALSE,TRUE),OR(exact(metadata!C112,"not applicable"),exact(metadata!C112,"missing: not collected"),exact(metadata!C112,"missing: not provided"),exact(metadata!C112,"missing: restricted access"))),AND(IF(metadata!C112="",FALSE,ISNUMBER(VALUE(metadata!C112))),metadata!C112&gt;0))</f>
        <v>0</v>
      </c>
      <c r="X112">
        <f>AND(IF(metadata!D112="",FALSE,TRUE),exact(metadata!D112,"weeks"))</f>
        <v>0</v>
      </c>
      <c r="Y112">
        <f>AND(IF(metadata!E112="",FALSE,TRUE),exact(metadata!E112,"urban biome"))</f>
        <v>0</v>
      </c>
      <c r="Z112">
        <f>AND(IF(metadata!F112="",FALSE,TRUE),exact(metadata!F112,"animal-associated habitat"))</f>
        <v>0</v>
      </c>
      <c r="AA112">
        <f>AND(IF(metadata!G112="",FALSE,TRUE),exact(metadata!G112,"mouse"))</f>
        <v>0</v>
      </c>
      <c r="AB112">
        <f>AND(IF(metadata!H112="",FALSE,TRUE),exact(metadata!H112,"Mus musculus"))</f>
        <v>0</v>
      </c>
      <c r="AC112">
        <f>AND(IF(metadata!I112="",FALSE,TRUE),exact(metadata!I112,"10090"))</f>
        <v>0</v>
      </c>
      <c r="AD112">
        <f>OR(AND(IF(metadata!J112="",FALSE,TRUE),OR(exact(metadata!J112,"not applicable"),exact(metadata!J112,"missing: not collected"),exact(metadata!J112,"missing: not provided"),exact(metadata!J112,"missing: restricted access"))),AND(IF(metadata!J112="",FALSE,ISNUMBER(VALUE(metadata!J112))),metadata!J112&gt;0))</f>
        <v>0</v>
      </c>
      <c r="AE112">
        <f>AND(IF(metadata!K112="",FALSE,TRUE),exact(metadata!K112,"g"))</f>
        <v>0</v>
      </c>
    </row>
    <row r="113" spans="1:31">
      <c r="A113" s="5">
        <f>IF(B113=" "," ",HYPERLINK(CONCATENATE("#metadata!",ADDRESS(INDEX($Q$2:$Q$1001,MATCH(ROWS($O$2:O113),$O$2:$O$1001,0),0),1)),INDEX($T$2:$T$1001,MATCH(ROWS($O$2:O113),$O$2:$O$1001,0),0)))</f>
        <v>0</v>
      </c>
      <c r="B113" s="4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4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4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4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4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4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4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4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4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4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OR(AND(IF(metadata!C113="",FALSE,TRUE),OR(exact(metadata!C113,"not applicable"),exact(metadata!C113,"missing: not collected"),exact(metadata!C113,"missing: not provided"),exact(metadata!C113,"missing: restricted access"))),AND(IF(metadata!C113="",FALSE,ISNUMBER(VALUE(metadata!C113))),metadata!C113&gt;0))</f>
        <v>0</v>
      </c>
      <c r="X113">
        <f>AND(IF(metadata!D113="",FALSE,TRUE),exact(metadata!D113,"weeks"))</f>
        <v>0</v>
      </c>
      <c r="Y113">
        <f>AND(IF(metadata!E113="",FALSE,TRUE),exact(metadata!E113,"urban biome"))</f>
        <v>0</v>
      </c>
      <c r="Z113">
        <f>AND(IF(metadata!F113="",FALSE,TRUE),exact(metadata!F113,"animal-associated habitat"))</f>
        <v>0</v>
      </c>
      <c r="AA113">
        <f>AND(IF(metadata!G113="",FALSE,TRUE),exact(metadata!G113,"mouse"))</f>
        <v>0</v>
      </c>
      <c r="AB113">
        <f>AND(IF(metadata!H113="",FALSE,TRUE),exact(metadata!H113,"Mus musculus"))</f>
        <v>0</v>
      </c>
      <c r="AC113">
        <f>AND(IF(metadata!I113="",FALSE,TRUE),exact(metadata!I113,"10090"))</f>
        <v>0</v>
      </c>
      <c r="AD113">
        <f>OR(AND(IF(metadata!J113="",FALSE,TRUE),OR(exact(metadata!J113,"not applicable"),exact(metadata!J113,"missing: not collected"),exact(metadata!J113,"missing: not provided"),exact(metadata!J113,"missing: restricted access"))),AND(IF(metadata!J113="",FALSE,ISNUMBER(VALUE(metadata!J113))),metadata!J113&gt;0))</f>
        <v>0</v>
      </c>
      <c r="AE113">
        <f>AND(IF(metadata!K113="",FALSE,TRUE),exact(metadata!K113,"g"))</f>
        <v>0</v>
      </c>
    </row>
    <row r="114" spans="1:31">
      <c r="A114" s="5">
        <f>IF(B114=" "," ",HYPERLINK(CONCATENATE("#metadata!",ADDRESS(INDEX($Q$2:$Q$1001,MATCH(ROWS($O$2:O114),$O$2:$O$1001,0),0),1)),INDEX($T$2:$T$1001,MATCH(ROWS($O$2:O114),$O$2:$O$1001,0),0)))</f>
        <v>0</v>
      </c>
      <c r="B114" s="4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4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4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4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4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4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4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4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4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4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OR(AND(IF(metadata!C114="",FALSE,TRUE),OR(exact(metadata!C114,"not applicable"),exact(metadata!C114,"missing: not collected"),exact(metadata!C114,"missing: not provided"),exact(metadata!C114,"missing: restricted access"))),AND(IF(metadata!C114="",FALSE,ISNUMBER(VALUE(metadata!C114))),metadata!C114&gt;0))</f>
        <v>0</v>
      </c>
      <c r="X114">
        <f>AND(IF(metadata!D114="",FALSE,TRUE),exact(metadata!D114,"weeks"))</f>
        <v>0</v>
      </c>
      <c r="Y114">
        <f>AND(IF(metadata!E114="",FALSE,TRUE),exact(metadata!E114,"urban biome"))</f>
        <v>0</v>
      </c>
      <c r="Z114">
        <f>AND(IF(metadata!F114="",FALSE,TRUE),exact(metadata!F114,"animal-associated habitat"))</f>
        <v>0</v>
      </c>
      <c r="AA114">
        <f>AND(IF(metadata!G114="",FALSE,TRUE),exact(metadata!G114,"mouse"))</f>
        <v>0</v>
      </c>
      <c r="AB114">
        <f>AND(IF(metadata!H114="",FALSE,TRUE),exact(metadata!H114,"Mus musculus"))</f>
        <v>0</v>
      </c>
      <c r="AC114">
        <f>AND(IF(metadata!I114="",FALSE,TRUE),exact(metadata!I114,"10090"))</f>
        <v>0</v>
      </c>
      <c r="AD114">
        <f>OR(AND(IF(metadata!J114="",FALSE,TRUE),OR(exact(metadata!J114,"not applicable"),exact(metadata!J114,"missing: not collected"),exact(metadata!J114,"missing: not provided"),exact(metadata!J114,"missing: restricted access"))),AND(IF(metadata!J114="",FALSE,ISNUMBER(VALUE(metadata!J114))),metadata!J114&gt;0))</f>
        <v>0</v>
      </c>
      <c r="AE114">
        <f>AND(IF(metadata!K114="",FALSE,TRUE),exact(metadata!K114,"g"))</f>
        <v>0</v>
      </c>
    </row>
    <row r="115" spans="1:31">
      <c r="A115" s="5">
        <f>IF(B115=" "," ",HYPERLINK(CONCATENATE("#metadata!",ADDRESS(INDEX($Q$2:$Q$1001,MATCH(ROWS($O$2:O115),$O$2:$O$1001,0),0),1)),INDEX($T$2:$T$1001,MATCH(ROWS($O$2:O115),$O$2:$O$1001,0),0)))</f>
        <v>0</v>
      </c>
      <c r="B115" s="4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4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4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4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4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4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4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4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4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4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OR(AND(IF(metadata!C115="",FALSE,TRUE),OR(exact(metadata!C115,"not applicable"),exact(metadata!C115,"missing: not collected"),exact(metadata!C115,"missing: not provided"),exact(metadata!C115,"missing: restricted access"))),AND(IF(metadata!C115="",FALSE,ISNUMBER(VALUE(metadata!C115))),metadata!C115&gt;0))</f>
        <v>0</v>
      </c>
      <c r="X115">
        <f>AND(IF(metadata!D115="",FALSE,TRUE),exact(metadata!D115,"weeks"))</f>
        <v>0</v>
      </c>
      <c r="Y115">
        <f>AND(IF(metadata!E115="",FALSE,TRUE),exact(metadata!E115,"urban biome"))</f>
        <v>0</v>
      </c>
      <c r="Z115">
        <f>AND(IF(metadata!F115="",FALSE,TRUE),exact(metadata!F115,"animal-associated habitat"))</f>
        <v>0</v>
      </c>
      <c r="AA115">
        <f>AND(IF(metadata!G115="",FALSE,TRUE),exact(metadata!G115,"mouse"))</f>
        <v>0</v>
      </c>
      <c r="AB115">
        <f>AND(IF(metadata!H115="",FALSE,TRUE),exact(metadata!H115,"Mus musculus"))</f>
        <v>0</v>
      </c>
      <c r="AC115">
        <f>AND(IF(metadata!I115="",FALSE,TRUE),exact(metadata!I115,"10090"))</f>
        <v>0</v>
      </c>
      <c r="AD115">
        <f>OR(AND(IF(metadata!J115="",FALSE,TRUE),OR(exact(metadata!J115,"not applicable"),exact(metadata!J115,"missing: not collected"),exact(metadata!J115,"missing: not provided"),exact(metadata!J115,"missing: restricted access"))),AND(IF(metadata!J115="",FALSE,ISNUMBER(VALUE(metadata!J115))),metadata!J115&gt;0))</f>
        <v>0</v>
      </c>
      <c r="AE115">
        <f>AND(IF(metadata!K115="",FALSE,TRUE),exact(metadata!K115,"g"))</f>
        <v>0</v>
      </c>
    </row>
    <row r="116" spans="1:31">
      <c r="A116" s="5">
        <f>IF(B116=" "," ",HYPERLINK(CONCATENATE("#metadata!",ADDRESS(INDEX($Q$2:$Q$1001,MATCH(ROWS($O$2:O116),$O$2:$O$1001,0),0),1)),INDEX($T$2:$T$1001,MATCH(ROWS($O$2:O116),$O$2:$O$1001,0),0)))</f>
        <v>0</v>
      </c>
      <c r="B116" s="4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4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4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4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4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4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4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4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4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4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OR(AND(IF(metadata!C116="",FALSE,TRUE),OR(exact(metadata!C116,"not applicable"),exact(metadata!C116,"missing: not collected"),exact(metadata!C116,"missing: not provided"),exact(metadata!C116,"missing: restricted access"))),AND(IF(metadata!C116="",FALSE,ISNUMBER(VALUE(metadata!C116))),metadata!C116&gt;0))</f>
        <v>0</v>
      </c>
      <c r="X116">
        <f>AND(IF(metadata!D116="",FALSE,TRUE),exact(metadata!D116,"weeks"))</f>
        <v>0</v>
      </c>
      <c r="Y116">
        <f>AND(IF(metadata!E116="",FALSE,TRUE),exact(metadata!E116,"urban biome"))</f>
        <v>0</v>
      </c>
      <c r="Z116">
        <f>AND(IF(metadata!F116="",FALSE,TRUE),exact(metadata!F116,"animal-associated habitat"))</f>
        <v>0</v>
      </c>
      <c r="AA116">
        <f>AND(IF(metadata!G116="",FALSE,TRUE),exact(metadata!G116,"mouse"))</f>
        <v>0</v>
      </c>
      <c r="AB116">
        <f>AND(IF(metadata!H116="",FALSE,TRUE),exact(metadata!H116,"Mus musculus"))</f>
        <v>0</v>
      </c>
      <c r="AC116">
        <f>AND(IF(metadata!I116="",FALSE,TRUE),exact(metadata!I116,"10090"))</f>
        <v>0</v>
      </c>
      <c r="AD116">
        <f>OR(AND(IF(metadata!J116="",FALSE,TRUE),OR(exact(metadata!J116,"not applicable"),exact(metadata!J116,"missing: not collected"),exact(metadata!J116,"missing: not provided"),exact(metadata!J116,"missing: restricted access"))),AND(IF(metadata!J116="",FALSE,ISNUMBER(VALUE(metadata!J116))),metadata!J116&gt;0))</f>
        <v>0</v>
      </c>
      <c r="AE116">
        <f>AND(IF(metadata!K116="",FALSE,TRUE),exact(metadata!K116,"g"))</f>
        <v>0</v>
      </c>
    </row>
    <row r="117" spans="1:31">
      <c r="A117" s="5">
        <f>IF(B117=" "," ",HYPERLINK(CONCATENATE("#metadata!",ADDRESS(INDEX($Q$2:$Q$1001,MATCH(ROWS($O$2:O117),$O$2:$O$1001,0),0),1)),INDEX($T$2:$T$1001,MATCH(ROWS($O$2:O117),$O$2:$O$1001,0),0)))</f>
        <v>0</v>
      </c>
      <c r="B117" s="4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4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4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4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4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4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4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4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4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4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OR(AND(IF(metadata!C117="",FALSE,TRUE),OR(exact(metadata!C117,"not applicable"),exact(metadata!C117,"missing: not collected"),exact(metadata!C117,"missing: not provided"),exact(metadata!C117,"missing: restricted access"))),AND(IF(metadata!C117="",FALSE,ISNUMBER(VALUE(metadata!C117))),metadata!C117&gt;0))</f>
        <v>0</v>
      </c>
      <c r="X117">
        <f>AND(IF(metadata!D117="",FALSE,TRUE),exact(metadata!D117,"weeks"))</f>
        <v>0</v>
      </c>
      <c r="Y117">
        <f>AND(IF(metadata!E117="",FALSE,TRUE),exact(metadata!E117,"urban biome"))</f>
        <v>0</v>
      </c>
      <c r="Z117">
        <f>AND(IF(metadata!F117="",FALSE,TRUE),exact(metadata!F117,"animal-associated habitat"))</f>
        <v>0</v>
      </c>
      <c r="AA117">
        <f>AND(IF(metadata!G117="",FALSE,TRUE),exact(metadata!G117,"mouse"))</f>
        <v>0</v>
      </c>
      <c r="AB117">
        <f>AND(IF(metadata!H117="",FALSE,TRUE),exact(metadata!H117,"Mus musculus"))</f>
        <v>0</v>
      </c>
      <c r="AC117">
        <f>AND(IF(metadata!I117="",FALSE,TRUE),exact(metadata!I117,"10090"))</f>
        <v>0</v>
      </c>
      <c r="AD117">
        <f>OR(AND(IF(metadata!J117="",FALSE,TRUE),OR(exact(metadata!J117,"not applicable"),exact(metadata!J117,"missing: not collected"),exact(metadata!J117,"missing: not provided"),exact(metadata!J117,"missing: restricted access"))),AND(IF(metadata!J117="",FALSE,ISNUMBER(VALUE(metadata!J117))),metadata!J117&gt;0))</f>
        <v>0</v>
      </c>
      <c r="AE117">
        <f>AND(IF(metadata!K117="",FALSE,TRUE),exact(metadata!K117,"g"))</f>
        <v>0</v>
      </c>
    </row>
    <row r="118" spans="1:31">
      <c r="A118" s="5">
        <f>IF(B118=" "," ",HYPERLINK(CONCATENATE("#metadata!",ADDRESS(INDEX($Q$2:$Q$1001,MATCH(ROWS($O$2:O118),$O$2:$O$1001,0),0),1)),INDEX($T$2:$T$1001,MATCH(ROWS($O$2:O118),$O$2:$O$1001,0),0)))</f>
        <v>0</v>
      </c>
      <c r="B118" s="4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4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4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4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4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4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4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4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4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4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OR(AND(IF(metadata!C118="",FALSE,TRUE),OR(exact(metadata!C118,"not applicable"),exact(metadata!C118,"missing: not collected"),exact(metadata!C118,"missing: not provided"),exact(metadata!C118,"missing: restricted access"))),AND(IF(metadata!C118="",FALSE,ISNUMBER(VALUE(metadata!C118))),metadata!C118&gt;0))</f>
        <v>0</v>
      </c>
      <c r="X118">
        <f>AND(IF(metadata!D118="",FALSE,TRUE),exact(metadata!D118,"weeks"))</f>
        <v>0</v>
      </c>
      <c r="Y118">
        <f>AND(IF(metadata!E118="",FALSE,TRUE),exact(metadata!E118,"urban biome"))</f>
        <v>0</v>
      </c>
      <c r="Z118">
        <f>AND(IF(metadata!F118="",FALSE,TRUE),exact(metadata!F118,"animal-associated habitat"))</f>
        <v>0</v>
      </c>
      <c r="AA118">
        <f>AND(IF(metadata!G118="",FALSE,TRUE),exact(metadata!G118,"mouse"))</f>
        <v>0</v>
      </c>
      <c r="AB118">
        <f>AND(IF(metadata!H118="",FALSE,TRUE),exact(metadata!H118,"Mus musculus"))</f>
        <v>0</v>
      </c>
      <c r="AC118">
        <f>AND(IF(metadata!I118="",FALSE,TRUE),exact(metadata!I118,"10090"))</f>
        <v>0</v>
      </c>
      <c r="AD118">
        <f>OR(AND(IF(metadata!J118="",FALSE,TRUE),OR(exact(metadata!J118,"not applicable"),exact(metadata!J118,"missing: not collected"),exact(metadata!J118,"missing: not provided"),exact(metadata!J118,"missing: restricted access"))),AND(IF(metadata!J118="",FALSE,ISNUMBER(VALUE(metadata!J118))),metadata!J118&gt;0))</f>
        <v>0</v>
      </c>
      <c r="AE118">
        <f>AND(IF(metadata!K118="",FALSE,TRUE),exact(metadata!K118,"g"))</f>
        <v>0</v>
      </c>
    </row>
    <row r="119" spans="1:31">
      <c r="A119" s="5">
        <f>IF(B119=" "," ",HYPERLINK(CONCATENATE("#metadata!",ADDRESS(INDEX($Q$2:$Q$1001,MATCH(ROWS($O$2:O119),$O$2:$O$1001,0),0),1)),INDEX($T$2:$T$1001,MATCH(ROWS($O$2:O119),$O$2:$O$1001,0),0)))</f>
        <v>0</v>
      </c>
      <c r="B119" s="4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4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4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4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4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4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4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4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4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4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OR(AND(IF(metadata!C119="",FALSE,TRUE),OR(exact(metadata!C119,"not applicable"),exact(metadata!C119,"missing: not collected"),exact(metadata!C119,"missing: not provided"),exact(metadata!C119,"missing: restricted access"))),AND(IF(metadata!C119="",FALSE,ISNUMBER(VALUE(metadata!C119))),metadata!C119&gt;0))</f>
        <v>0</v>
      </c>
      <c r="X119">
        <f>AND(IF(metadata!D119="",FALSE,TRUE),exact(metadata!D119,"weeks"))</f>
        <v>0</v>
      </c>
      <c r="Y119">
        <f>AND(IF(metadata!E119="",FALSE,TRUE),exact(metadata!E119,"urban biome"))</f>
        <v>0</v>
      </c>
      <c r="Z119">
        <f>AND(IF(metadata!F119="",FALSE,TRUE),exact(metadata!F119,"animal-associated habitat"))</f>
        <v>0</v>
      </c>
      <c r="AA119">
        <f>AND(IF(metadata!G119="",FALSE,TRUE),exact(metadata!G119,"mouse"))</f>
        <v>0</v>
      </c>
      <c r="AB119">
        <f>AND(IF(metadata!H119="",FALSE,TRUE),exact(metadata!H119,"Mus musculus"))</f>
        <v>0</v>
      </c>
      <c r="AC119">
        <f>AND(IF(metadata!I119="",FALSE,TRUE),exact(metadata!I119,"10090"))</f>
        <v>0</v>
      </c>
      <c r="AD119">
        <f>OR(AND(IF(metadata!J119="",FALSE,TRUE),OR(exact(metadata!J119,"not applicable"),exact(metadata!J119,"missing: not collected"),exact(metadata!J119,"missing: not provided"),exact(metadata!J119,"missing: restricted access"))),AND(IF(metadata!J119="",FALSE,ISNUMBER(VALUE(metadata!J119))),metadata!J119&gt;0))</f>
        <v>0</v>
      </c>
      <c r="AE119">
        <f>AND(IF(metadata!K119="",FALSE,TRUE),exact(metadata!K119,"g"))</f>
        <v>0</v>
      </c>
    </row>
    <row r="120" spans="1:31">
      <c r="A120" s="5">
        <f>IF(B120=" "," ",HYPERLINK(CONCATENATE("#metadata!",ADDRESS(INDEX($Q$2:$Q$1001,MATCH(ROWS($O$2:O120),$O$2:$O$1001,0),0),1)),INDEX($T$2:$T$1001,MATCH(ROWS($O$2:O120),$O$2:$O$1001,0),0)))</f>
        <v>0</v>
      </c>
      <c r="B120" s="4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4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4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4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4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4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4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4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4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4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OR(AND(IF(metadata!C120="",FALSE,TRUE),OR(exact(metadata!C120,"not applicable"),exact(metadata!C120,"missing: not collected"),exact(metadata!C120,"missing: not provided"),exact(metadata!C120,"missing: restricted access"))),AND(IF(metadata!C120="",FALSE,ISNUMBER(VALUE(metadata!C120))),metadata!C120&gt;0))</f>
        <v>0</v>
      </c>
      <c r="X120">
        <f>AND(IF(metadata!D120="",FALSE,TRUE),exact(metadata!D120,"weeks"))</f>
        <v>0</v>
      </c>
      <c r="Y120">
        <f>AND(IF(metadata!E120="",FALSE,TRUE),exact(metadata!E120,"urban biome"))</f>
        <v>0</v>
      </c>
      <c r="Z120">
        <f>AND(IF(metadata!F120="",FALSE,TRUE),exact(metadata!F120,"animal-associated habitat"))</f>
        <v>0</v>
      </c>
      <c r="AA120">
        <f>AND(IF(metadata!G120="",FALSE,TRUE),exact(metadata!G120,"mouse"))</f>
        <v>0</v>
      </c>
      <c r="AB120">
        <f>AND(IF(metadata!H120="",FALSE,TRUE),exact(metadata!H120,"Mus musculus"))</f>
        <v>0</v>
      </c>
      <c r="AC120">
        <f>AND(IF(metadata!I120="",FALSE,TRUE),exact(metadata!I120,"10090"))</f>
        <v>0</v>
      </c>
      <c r="AD120">
        <f>OR(AND(IF(metadata!J120="",FALSE,TRUE),OR(exact(metadata!J120,"not applicable"),exact(metadata!J120,"missing: not collected"),exact(metadata!J120,"missing: not provided"),exact(metadata!J120,"missing: restricted access"))),AND(IF(metadata!J120="",FALSE,ISNUMBER(VALUE(metadata!J120))),metadata!J120&gt;0))</f>
        <v>0</v>
      </c>
      <c r="AE120">
        <f>AND(IF(metadata!K120="",FALSE,TRUE),exact(metadata!K120,"g"))</f>
        <v>0</v>
      </c>
    </row>
    <row r="121" spans="1:31">
      <c r="A121" s="5">
        <f>IF(B121=" "," ",HYPERLINK(CONCATENATE("#metadata!",ADDRESS(INDEX($Q$2:$Q$1001,MATCH(ROWS($O$2:O121),$O$2:$O$1001,0),0),1)),INDEX($T$2:$T$1001,MATCH(ROWS($O$2:O121),$O$2:$O$1001,0),0)))</f>
        <v>0</v>
      </c>
      <c r="B121" s="4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4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4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4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4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4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4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4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4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4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OR(AND(IF(metadata!C121="",FALSE,TRUE),OR(exact(metadata!C121,"not applicable"),exact(metadata!C121,"missing: not collected"),exact(metadata!C121,"missing: not provided"),exact(metadata!C121,"missing: restricted access"))),AND(IF(metadata!C121="",FALSE,ISNUMBER(VALUE(metadata!C121))),metadata!C121&gt;0))</f>
        <v>0</v>
      </c>
      <c r="X121">
        <f>AND(IF(metadata!D121="",FALSE,TRUE),exact(metadata!D121,"weeks"))</f>
        <v>0</v>
      </c>
      <c r="Y121">
        <f>AND(IF(metadata!E121="",FALSE,TRUE),exact(metadata!E121,"urban biome"))</f>
        <v>0</v>
      </c>
      <c r="Z121">
        <f>AND(IF(metadata!F121="",FALSE,TRUE),exact(metadata!F121,"animal-associated habitat"))</f>
        <v>0</v>
      </c>
      <c r="AA121">
        <f>AND(IF(metadata!G121="",FALSE,TRUE),exact(metadata!G121,"mouse"))</f>
        <v>0</v>
      </c>
      <c r="AB121">
        <f>AND(IF(metadata!H121="",FALSE,TRUE),exact(metadata!H121,"Mus musculus"))</f>
        <v>0</v>
      </c>
      <c r="AC121">
        <f>AND(IF(metadata!I121="",FALSE,TRUE),exact(metadata!I121,"10090"))</f>
        <v>0</v>
      </c>
      <c r="AD121">
        <f>OR(AND(IF(metadata!J121="",FALSE,TRUE),OR(exact(metadata!J121,"not applicable"),exact(metadata!J121,"missing: not collected"),exact(metadata!J121,"missing: not provided"),exact(metadata!J121,"missing: restricted access"))),AND(IF(metadata!J121="",FALSE,ISNUMBER(VALUE(metadata!J121))),metadata!J121&gt;0))</f>
        <v>0</v>
      </c>
      <c r="AE121">
        <f>AND(IF(metadata!K121="",FALSE,TRUE),exact(metadata!K121,"g"))</f>
        <v>0</v>
      </c>
    </row>
    <row r="122" spans="1:31">
      <c r="A122" s="5">
        <f>IF(B122=" "," ",HYPERLINK(CONCATENATE("#metadata!",ADDRESS(INDEX($Q$2:$Q$1001,MATCH(ROWS($O$2:O122),$O$2:$O$1001,0),0),1)),INDEX($T$2:$T$1001,MATCH(ROWS($O$2:O122),$O$2:$O$1001,0),0)))</f>
        <v>0</v>
      </c>
      <c r="B122" s="4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4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4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4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4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4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4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4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4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4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OR(AND(IF(metadata!C122="",FALSE,TRUE),OR(exact(metadata!C122,"not applicable"),exact(metadata!C122,"missing: not collected"),exact(metadata!C122,"missing: not provided"),exact(metadata!C122,"missing: restricted access"))),AND(IF(metadata!C122="",FALSE,ISNUMBER(VALUE(metadata!C122))),metadata!C122&gt;0))</f>
        <v>0</v>
      </c>
      <c r="X122">
        <f>AND(IF(metadata!D122="",FALSE,TRUE),exact(metadata!D122,"weeks"))</f>
        <v>0</v>
      </c>
      <c r="Y122">
        <f>AND(IF(metadata!E122="",FALSE,TRUE),exact(metadata!E122,"urban biome"))</f>
        <v>0</v>
      </c>
      <c r="Z122">
        <f>AND(IF(metadata!F122="",FALSE,TRUE),exact(metadata!F122,"animal-associated habitat"))</f>
        <v>0</v>
      </c>
      <c r="AA122">
        <f>AND(IF(metadata!G122="",FALSE,TRUE),exact(metadata!G122,"mouse"))</f>
        <v>0</v>
      </c>
      <c r="AB122">
        <f>AND(IF(metadata!H122="",FALSE,TRUE),exact(metadata!H122,"Mus musculus"))</f>
        <v>0</v>
      </c>
      <c r="AC122">
        <f>AND(IF(metadata!I122="",FALSE,TRUE),exact(metadata!I122,"10090"))</f>
        <v>0</v>
      </c>
      <c r="AD122">
        <f>OR(AND(IF(metadata!J122="",FALSE,TRUE),OR(exact(metadata!J122,"not applicable"),exact(metadata!J122,"missing: not collected"),exact(metadata!J122,"missing: not provided"),exact(metadata!J122,"missing: restricted access"))),AND(IF(metadata!J122="",FALSE,ISNUMBER(VALUE(metadata!J122))),metadata!J122&gt;0))</f>
        <v>0</v>
      </c>
      <c r="AE122">
        <f>AND(IF(metadata!K122="",FALSE,TRUE),exact(metadata!K122,"g"))</f>
        <v>0</v>
      </c>
    </row>
    <row r="123" spans="1:31">
      <c r="A123" s="5">
        <f>IF(B123=" "," ",HYPERLINK(CONCATENATE("#metadata!",ADDRESS(INDEX($Q$2:$Q$1001,MATCH(ROWS($O$2:O123),$O$2:$O$1001,0),0),1)),INDEX($T$2:$T$1001,MATCH(ROWS($O$2:O123),$O$2:$O$1001,0),0)))</f>
        <v>0</v>
      </c>
      <c r="B123" s="4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4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4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4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4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4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4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4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4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4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OR(AND(IF(metadata!C123="",FALSE,TRUE),OR(exact(metadata!C123,"not applicable"),exact(metadata!C123,"missing: not collected"),exact(metadata!C123,"missing: not provided"),exact(metadata!C123,"missing: restricted access"))),AND(IF(metadata!C123="",FALSE,ISNUMBER(VALUE(metadata!C123))),metadata!C123&gt;0))</f>
        <v>0</v>
      </c>
      <c r="X123">
        <f>AND(IF(metadata!D123="",FALSE,TRUE),exact(metadata!D123,"weeks"))</f>
        <v>0</v>
      </c>
      <c r="Y123">
        <f>AND(IF(metadata!E123="",FALSE,TRUE),exact(metadata!E123,"urban biome"))</f>
        <v>0</v>
      </c>
      <c r="Z123">
        <f>AND(IF(metadata!F123="",FALSE,TRUE),exact(metadata!F123,"animal-associated habitat"))</f>
        <v>0</v>
      </c>
      <c r="AA123">
        <f>AND(IF(metadata!G123="",FALSE,TRUE),exact(metadata!G123,"mouse"))</f>
        <v>0</v>
      </c>
      <c r="AB123">
        <f>AND(IF(metadata!H123="",FALSE,TRUE),exact(metadata!H123,"Mus musculus"))</f>
        <v>0</v>
      </c>
      <c r="AC123">
        <f>AND(IF(metadata!I123="",FALSE,TRUE),exact(metadata!I123,"10090"))</f>
        <v>0</v>
      </c>
      <c r="AD123">
        <f>OR(AND(IF(metadata!J123="",FALSE,TRUE),OR(exact(metadata!J123,"not applicable"),exact(metadata!J123,"missing: not collected"),exact(metadata!J123,"missing: not provided"),exact(metadata!J123,"missing: restricted access"))),AND(IF(metadata!J123="",FALSE,ISNUMBER(VALUE(metadata!J123))),metadata!J123&gt;0))</f>
        <v>0</v>
      </c>
      <c r="AE123">
        <f>AND(IF(metadata!K123="",FALSE,TRUE),exact(metadata!K123,"g"))</f>
        <v>0</v>
      </c>
    </row>
    <row r="124" spans="1:31">
      <c r="A124" s="5">
        <f>IF(B124=" "," ",HYPERLINK(CONCATENATE("#metadata!",ADDRESS(INDEX($Q$2:$Q$1001,MATCH(ROWS($O$2:O124),$O$2:$O$1001,0),0),1)),INDEX($T$2:$T$1001,MATCH(ROWS($O$2:O124),$O$2:$O$1001,0),0)))</f>
        <v>0</v>
      </c>
      <c r="B124" s="4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4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4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4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4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4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4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4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4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4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OR(AND(IF(metadata!C124="",FALSE,TRUE),OR(exact(metadata!C124,"not applicable"),exact(metadata!C124,"missing: not collected"),exact(metadata!C124,"missing: not provided"),exact(metadata!C124,"missing: restricted access"))),AND(IF(metadata!C124="",FALSE,ISNUMBER(VALUE(metadata!C124))),metadata!C124&gt;0))</f>
        <v>0</v>
      </c>
      <c r="X124">
        <f>AND(IF(metadata!D124="",FALSE,TRUE),exact(metadata!D124,"weeks"))</f>
        <v>0</v>
      </c>
      <c r="Y124">
        <f>AND(IF(metadata!E124="",FALSE,TRUE),exact(metadata!E124,"urban biome"))</f>
        <v>0</v>
      </c>
      <c r="Z124">
        <f>AND(IF(metadata!F124="",FALSE,TRUE),exact(metadata!F124,"animal-associated habitat"))</f>
        <v>0</v>
      </c>
      <c r="AA124">
        <f>AND(IF(metadata!G124="",FALSE,TRUE),exact(metadata!G124,"mouse"))</f>
        <v>0</v>
      </c>
      <c r="AB124">
        <f>AND(IF(metadata!H124="",FALSE,TRUE),exact(metadata!H124,"Mus musculus"))</f>
        <v>0</v>
      </c>
      <c r="AC124">
        <f>AND(IF(metadata!I124="",FALSE,TRUE),exact(metadata!I124,"10090"))</f>
        <v>0</v>
      </c>
      <c r="AD124">
        <f>OR(AND(IF(metadata!J124="",FALSE,TRUE),OR(exact(metadata!J124,"not applicable"),exact(metadata!J124,"missing: not collected"),exact(metadata!J124,"missing: not provided"),exact(metadata!J124,"missing: restricted access"))),AND(IF(metadata!J124="",FALSE,ISNUMBER(VALUE(metadata!J124))),metadata!J124&gt;0))</f>
        <v>0</v>
      </c>
      <c r="AE124">
        <f>AND(IF(metadata!K124="",FALSE,TRUE),exact(metadata!K124,"g"))</f>
        <v>0</v>
      </c>
    </row>
    <row r="125" spans="1:31">
      <c r="A125" s="5">
        <f>IF(B125=" "," ",HYPERLINK(CONCATENATE("#metadata!",ADDRESS(INDEX($Q$2:$Q$1001,MATCH(ROWS($O$2:O125),$O$2:$O$1001,0),0),1)),INDEX($T$2:$T$1001,MATCH(ROWS($O$2:O125),$O$2:$O$1001,0),0)))</f>
        <v>0</v>
      </c>
      <c r="B125" s="4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4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4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4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4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4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4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4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4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4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OR(AND(IF(metadata!C125="",FALSE,TRUE),OR(exact(metadata!C125,"not applicable"),exact(metadata!C125,"missing: not collected"),exact(metadata!C125,"missing: not provided"),exact(metadata!C125,"missing: restricted access"))),AND(IF(metadata!C125="",FALSE,ISNUMBER(VALUE(metadata!C125))),metadata!C125&gt;0))</f>
        <v>0</v>
      </c>
      <c r="X125">
        <f>AND(IF(metadata!D125="",FALSE,TRUE),exact(metadata!D125,"weeks"))</f>
        <v>0</v>
      </c>
      <c r="Y125">
        <f>AND(IF(metadata!E125="",FALSE,TRUE),exact(metadata!E125,"urban biome"))</f>
        <v>0</v>
      </c>
      <c r="Z125">
        <f>AND(IF(metadata!F125="",FALSE,TRUE),exact(metadata!F125,"animal-associated habitat"))</f>
        <v>0</v>
      </c>
      <c r="AA125">
        <f>AND(IF(metadata!G125="",FALSE,TRUE),exact(metadata!G125,"mouse"))</f>
        <v>0</v>
      </c>
      <c r="AB125">
        <f>AND(IF(metadata!H125="",FALSE,TRUE),exact(metadata!H125,"Mus musculus"))</f>
        <v>0</v>
      </c>
      <c r="AC125">
        <f>AND(IF(metadata!I125="",FALSE,TRUE),exact(metadata!I125,"10090"))</f>
        <v>0</v>
      </c>
      <c r="AD125">
        <f>OR(AND(IF(metadata!J125="",FALSE,TRUE),OR(exact(metadata!J125,"not applicable"),exact(metadata!J125,"missing: not collected"),exact(metadata!J125,"missing: not provided"),exact(metadata!J125,"missing: restricted access"))),AND(IF(metadata!J125="",FALSE,ISNUMBER(VALUE(metadata!J125))),metadata!J125&gt;0))</f>
        <v>0</v>
      </c>
      <c r="AE125">
        <f>AND(IF(metadata!K125="",FALSE,TRUE),exact(metadata!K125,"g"))</f>
        <v>0</v>
      </c>
    </row>
    <row r="126" spans="1:31">
      <c r="A126" s="5">
        <f>IF(B126=" "," ",HYPERLINK(CONCATENATE("#metadata!",ADDRESS(INDEX($Q$2:$Q$1001,MATCH(ROWS($O$2:O126),$O$2:$O$1001,0),0),1)),INDEX($T$2:$T$1001,MATCH(ROWS($O$2:O126),$O$2:$O$1001,0),0)))</f>
        <v>0</v>
      </c>
      <c r="B126" s="4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4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4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4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4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4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4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4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4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4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OR(AND(IF(metadata!C126="",FALSE,TRUE),OR(exact(metadata!C126,"not applicable"),exact(metadata!C126,"missing: not collected"),exact(metadata!C126,"missing: not provided"),exact(metadata!C126,"missing: restricted access"))),AND(IF(metadata!C126="",FALSE,ISNUMBER(VALUE(metadata!C126))),metadata!C126&gt;0))</f>
        <v>0</v>
      </c>
      <c r="X126">
        <f>AND(IF(metadata!D126="",FALSE,TRUE),exact(metadata!D126,"weeks"))</f>
        <v>0</v>
      </c>
      <c r="Y126">
        <f>AND(IF(metadata!E126="",FALSE,TRUE),exact(metadata!E126,"urban biome"))</f>
        <v>0</v>
      </c>
      <c r="Z126">
        <f>AND(IF(metadata!F126="",FALSE,TRUE),exact(metadata!F126,"animal-associated habitat"))</f>
        <v>0</v>
      </c>
      <c r="AA126">
        <f>AND(IF(metadata!G126="",FALSE,TRUE),exact(metadata!G126,"mouse"))</f>
        <v>0</v>
      </c>
      <c r="AB126">
        <f>AND(IF(metadata!H126="",FALSE,TRUE),exact(metadata!H126,"Mus musculus"))</f>
        <v>0</v>
      </c>
      <c r="AC126">
        <f>AND(IF(metadata!I126="",FALSE,TRUE),exact(metadata!I126,"10090"))</f>
        <v>0</v>
      </c>
      <c r="AD126">
        <f>OR(AND(IF(metadata!J126="",FALSE,TRUE),OR(exact(metadata!J126,"not applicable"),exact(metadata!J126,"missing: not collected"),exact(metadata!J126,"missing: not provided"),exact(metadata!J126,"missing: restricted access"))),AND(IF(metadata!J126="",FALSE,ISNUMBER(VALUE(metadata!J126))),metadata!J126&gt;0))</f>
        <v>0</v>
      </c>
      <c r="AE126">
        <f>AND(IF(metadata!K126="",FALSE,TRUE),exact(metadata!K126,"g"))</f>
        <v>0</v>
      </c>
    </row>
    <row r="127" spans="1:31">
      <c r="A127" s="5">
        <f>IF(B127=" "," ",HYPERLINK(CONCATENATE("#metadata!",ADDRESS(INDEX($Q$2:$Q$1001,MATCH(ROWS($O$2:O127),$O$2:$O$1001,0),0),1)),INDEX($T$2:$T$1001,MATCH(ROWS($O$2:O127),$O$2:$O$1001,0),0)))</f>
        <v>0</v>
      </c>
      <c r="B127" s="4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4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4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4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4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4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4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4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4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4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OR(AND(IF(metadata!C127="",FALSE,TRUE),OR(exact(metadata!C127,"not applicable"),exact(metadata!C127,"missing: not collected"),exact(metadata!C127,"missing: not provided"),exact(metadata!C127,"missing: restricted access"))),AND(IF(metadata!C127="",FALSE,ISNUMBER(VALUE(metadata!C127))),metadata!C127&gt;0))</f>
        <v>0</v>
      </c>
      <c r="X127">
        <f>AND(IF(metadata!D127="",FALSE,TRUE),exact(metadata!D127,"weeks"))</f>
        <v>0</v>
      </c>
      <c r="Y127">
        <f>AND(IF(metadata!E127="",FALSE,TRUE),exact(metadata!E127,"urban biome"))</f>
        <v>0</v>
      </c>
      <c r="Z127">
        <f>AND(IF(metadata!F127="",FALSE,TRUE),exact(metadata!F127,"animal-associated habitat"))</f>
        <v>0</v>
      </c>
      <c r="AA127">
        <f>AND(IF(metadata!G127="",FALSE,TRUE),exact(metadata!G127,"mouse"))</f>
        <v>0</v>
      </c>
      <c r="AB127">
        <f>AND(IF(metadata!H127="",FALSE,TRUE),exact(metadata!H127,"Mus musculus"))</f>
        <v>0</v>
      </c>
      <c r="AC127">
        <f>AND(IF(metadata!I127="",FALSE,TRUE),exact(metadata!I127,"10090"))</f>
        <v>0</v>
      </c>
      <c r="AD127">
        <f>OR(AND(IF(metadata!J127="",FALSE,TRUE),OR(exact(metadata!J127,"not applicable"),exact(metadata!J127,"missing: not collected"),exact(metadata!J127,"missing: not provided"),exact(metadata!J127,"missing: restricted access"))),AND(IF(metadata!J127="",FALSE,ISNUMBER(VALUE(metadata!J127))),metadata!J127&gt;0))</f>
        <v>0</v>
      </c>
      <c r="AE127">
        <f>AND(IF(metadata!K127="",FALSE,TRUE),exact(metadata!K127,"g"))</f>
        <v>0</v>
      </c>
    </row>
    <row r="128" spans="1:31">
      <c r="A128" s="5">
        <f>IF(B128=" "," ",HYPERLINK(CONCATENATE("#metadata!",ADDRESS(INDEX($Q$2:$Q$1001,MATCH(ROWS($O$2:O128),$O$2:$O$1001,0),0),1)),INDEX($T$2:$T$1001,MATCH(ROWS($O$2:O128),$O$2:$O$1001,0),0)))</f>
        <v>0</v>
      </c>
      <c r="B128" s="4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4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4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4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4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4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4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4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4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4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OR(AND(IF(metadata!C128="",FALSE,TRUE),OR(exact(metadata!C128,"not applicable"),exact(metadata!C128,"missing: not collected"),exact(metadata!C128,"missing: not provided"),exact(metadata!C128,"missing: restricted access"))),AND(IF(metadata!C128="",FALSE,ISNUMBER(VALUE(metadata!C128))),metadata!C128&gt;0))</f>
        <v>0</v>
      </c>
      <c r="X128">
        <f>AND(IF(metadata!D128="",FALSE,TRUE),exact(metadata!D128,"weeks"))</f>
        <v>0</v>
      </c>
      <c r="Y128">
        <f>AND(IF(metadata!E128="",FALSE,TRUE),exact(metadata!E128,"urban biome"))</f>
        <v>0</v>
      </c>
      <c r="Z128">
        <f>AND(IF(metadata!F128="",FALSE,TRUE),exact(metadata!F128,"animal-associated habitat"))</f>
        <v>0</v>
      </c>
      <c r="AA128">
        <f>AND(IF(metadata!G128="",FALSE,TRUE),exact(metadata!G128,"mouse"))</f>
        <v>0</v>
      </c>
      <c r="AB128">
        <f>AND(IF(metadata!H128="",FALSE,TRUE),exact(metadata!H128,"Mus musculus"))</f>
        <v>0</v>
      </c>
      <c r="AC128">
        <f>AND(IF(metadata!I128="",FALSE,TRUE),exact(metadata!I128,"10090"))</f>
        <v>0</v>
      </c>
      <c r="AD128">
        <f>OR(AND(IF(metadata!J128="",FALSE,TRUE),OR(exact(metadata!J128,"not applicable"),exact(metadata!J128,"missing: not collected"),exact(metadata!J128,"missing: not provided"),exact(metadata!J128,"missing: restricted access"))),AND(IF(metadata!J128="",FALSE,ISNUMBER(VALUE(metadata!J128))),metadata!J128&gt;0))</f>
        <v>0</v>
      </c>
      <c r="AE128">
        <f>AND(IF(metadata!K128="",FALSE,TRUE),exact(metadata!K128,"g"))</f>
        <v>0</v>
      </c>
    </row>
    <row r="129" spans="1:31">
      <c r="A129" s="5">
        <f>IF(B129=" "," ",HYPERLINK(CONCATENATE("#metadata!",ADDRESS(INDEX($Q$2:$Q$1001,MATCH(ROWS($O$2:O129),$O$2:$O$1001,0),0),1)),INDEX($T$2:$T$1001,MATCH(ROWS($O$2:O129),$O$2:$O$1001,0),0)))</f>
        <v>0</v>
      </c>
      <c r="B129" s="4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4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4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4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4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4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4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4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4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4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OR(AND(IF(metadata!C129="",FALSE,TRUE),OR(exact(metadata!C129,"not applicable"),exact(metadata!C129,"missing: not collected"),exact(metadata!C129,"missing: not provided"),exact(metadata!C129,"missing: restricted access"))),AND(IF(metadata!C129="",FALSE,ISNUMBER(VALUE(metadata!C129))),metadata!C129&gt;0))</f>
        <v>0</v>
      </c>
      <c r="X129">
        <f>AND(IF(metadata!D129="",FALSE,TRUE),exact(metadata!D129,"weeks"))</f>
        <v>0</v>
      </c>
      <c r="Y129">
        <f>AND(IF(metadata!E129="",FALSE,TRUE),exact(metadata!E129,"urban biome"))</f>
        <v>0</v>
      </c>
      <c r="Z129">
        <f>AND(IF(metadata!F129="",FALSE,TRUE),exact(metadata!F129,"animal-associated habitat"))</f>
        <v>0</v>
      </c>
      <c r="AA129">
        <f>AND(IF(metadata!G129="",FALSE,TRUE),exact(metadata!G129,"mouse"))</f>
        <v>0</v>
      </c>
      <c r="AB129">
        <f>AND(IF(metadata!H129="",FALSE,TRUE),exact(metadata!H129,"Mus musculus"))</f>
        <v>0</v>
      </c>
      <c r="AC129">
        <f>AND(IF(metadata!I129="",FALSE,TRUE),exact(metadata!I129,"10090"))</f>
        <v>0</v>
      </c>
      <c r="AD129">
        <f>OR(AND(IF(metadata!J129="",FALSE,TRUE),OR(exact(metadata!J129,"not applicable"),exact(metadata!J129,"missing: not collected"),exact(metadata!J129,"missing: not provided"),exact(metadata!J129,"missing: restricted access"))),AND(IF(metadata!J129="",FALSE,ISNUMBER(VALUE(metadata!J129))),metadata!J129&gt;0))</f>
        <v>0</v>
      </c>
      <c r="AE129">
        <f>AND(IF(metadata!K129="",FALSE,TRUE),exact(metadata!K129,"g"))</f>
        <v>0</v>
      </c>
    </row>
    <row r="130" spans="1:31">
      <c r="A130" s="5">
        <f>IF(B130=" "," ",HYPERLINK(CONCATENATE("#metadata!",ADDRESS(INDEX($Q$2:$Q$1001,MATCH(ROWS($O$2:O130),$O$2:$O$1001,0),0),1)),INDEX($T$2:$T$1001,MATCH(ROWS($O$2:O130),$O$2:$O$1001,0),0)))</f>
        <v>0</v>
      </c>
      <c r="B130" s="4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4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4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4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4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4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4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4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4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4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OR(AND(IF(metadata!C130="",FALSE,TRUE),OR(exact(metadata!C130,"not applicable"),exact(metadata!C130,"missing: not collected"),exact(metadata!C130,"missing: not provided"),exact(metadata!C130,"missing: restricted access"))),AND(IF(metadata!C130="",FALSE,ISNUMBER(VALUE(metadata!C130))),metadata!C130&gt;0))</f>
        <v>0</v>
      </c>
      <c r="X130">
        <f>AND(IF(metadata!D130="",FALSE,TRUE),exact(metadata!D130,"weeks"))</f>
        <v>0</v>
      </c>
      <c r="Y130">
        <f>AND(IF(metadata!E130="",FALSE,TRUE),exact(metadata!E130,"urban biome"))</f>
        <v>0</v>
      </c>
      <c r="Z130">
        <f>AND(IF(metadata!F130="",FALSE,TRUE),exact(metadata!F130,"animal-associated habitat"))</f>
        <v>0</v>
      </c>
      <c r="AA130">
        <f>AND(IF(metadata!G130="",FALSE,TRUE),exact(metadata!G130,"mouse"))</f>
        <v>0</v>
      </c>
      <c r="AB130">
        <f>AND(IF(metadata!H130="",FALSE,TRUE),exact(metadata!H130,"Mus musculus"))</f>
        <v>0</v>
      </c>
      <c r="AC130">
        <f>AND(IF(metadata!I130="",FALSE,TRUE),exact(metadata!I130,"10090"))</f>
        <v>0</v>
      </c>
      <c r="AD130">
        <f>OR(AND(IF(metadata!J130="",FALSE,TRUE),OR(exact(metadata!J130,"not applicable"),exact(metadata!J130,"missing: not collected"),exact(metadata!J130,"missing: not provided"),exact(metadata!J130,"missing: restricted access"))),AND(IF(metadata!J130="",FALSE,ISNUMBER(VALUE(metadata!J130))),metadata!J130&gt;0))</f>
        <v>0</v>
      </c>
      <c r="AE130">
        <f>AND(IF(metadata!K130="",FALSE,TRUE),exact(metadata!K130,"g"))</f>
        <v>0</v>
      </c>
    </row>
    <row r="131" spans="1:31">
      <c r="A131" s="5">
        <f>IF(B131=" "," ",HYPERLINK(CONCATENATE("#metadata!",ADDRESS(INDEX($Q$2:$Q$1001,MATCH(ROWS($O$2:O131),$O$2:$O$1001,0),0),1)),INDEX($T$2:$T$1001,MATCH(ROWS($O$2:O131),$O$2:$O$1001,0),0)))</f>
        <v>0</v>
      </c>
      <c r="B131" s="4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4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4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4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4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4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4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4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4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4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OR(AND(IF(metadata!C131="",FALSE,TRUE),OR(exact(metadata!C131,"not applicable"),exact(metadata!C131,"missing: not collected"),exact(metadata!C131,"missing: not provided"),exact(metadata!C131,"missing: restricted access"))),AND(IF(metadata!C131="",FALSE,ISNUMBER(VALUE(metadata!C131))),metadata!C131&gt;0))</f>
        <v>0</v>
      </c>
      <c r="X131">
        <f>AND(IF(metadata!D131="",FALSE,TRUE),exact(metadata!D131,"weeks"))</f>
        <v>0</v>
      </c>
      <c r="Y131">
        <f>AND(IF(metadata!E131="",FALSE,TRUE),exact(metadata!E131,"urban biome"))</f>
        <v>0</v>
      </c>
      <c r="Z131">
        <f>AND(IF(metadata!F131="",FALSE,TRUE),exact(metadata!F131,"animal-associated habitat"))</f>
        <v>0</v>
      </c>
      <c r="AA131">
        <f>AND(IF(metadata!G131="",FALSE,TRUE),exact(metadata!G131,"mouse"))</f>
        <v>0</v>
      </c>
      <c r="AB131">
        <f>AND(IF(metadata!H131="",FALSE,TRUE),exact(metadata!H131,"Mus musculus"))</f>
        <v>0</v>
      </c>
      <c r="AC131">
        <f>AND(IF(metadata!I131="",FALSE,TRUE),exact(metadata!I131,"10090"))</f>
        <v>0</v>
      </c>
      <c r="AD131">
        <f>OR(AND(IF(metadata!J131="",FALSE,TRUE),OR(exact(metadata!J131,"not applicable"),exact(metadata!J131,"missing: not collected"),exact(metadata!J131,"missing: not provided"),exact(metadata!J131,"missing: restricted access"))),AND(IF(metadata!J131="",FALSE,ISNUMBER(VALUE(metadata!J131))),metadata!J131&gt;0))</f>
        <v>0</v>
      </c>
      <c r="AE131">
        <f>AND(IF(metadata!K131="",FALSE,TRUE),exact(metadata!K131,"g"))</f>
        <v>0</v>
      </c>
    </row>
    <row r="132" spans="1:31">
      <c r="A132" s="5">
        <f>IF(B132=" "," ",HYPERLINK(CONCATENATE("#metadata!",ADDRESS(INDEX($Q$2:$Q$1001,MATCH(ROWS($O$2:O132),$O$2:$O$1001,0),0),1)),INDEX($T$2:$T$1001,MATCH(ROWS($O$2:O132),$O$2:$O$1001,0),0)))</f>
        <v>0</v>
      </c>
      <c r="B132" s="4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4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4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4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4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4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4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4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4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4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OR(AND(IF(metadata!C132="",FALSE,TRUE),OR(exact(metadata!C132,"not applicable"),exact(metadata!C132,"missing: not collected"),exact(metadata!C132,"missing: not provided"),exact(metadata!C132,"missing: restricted access"))),AND(IF(metadata!C132="",FALSE,ISNUMBER(VALUE(metadata!C132))),metadata!C132&gt;0))</f>
        <v>0</v>
      </c>
      <c r="X132">
        <f>AND(IF(metadata!D132="",FALSE,TRUE),exact(metadata!D132,"weeks"))</f>
        <v>0</v>
      </c>
      <c r="Y132">
        <f>AND(IF(metadata!E132="",FALSE,TRUE),exact(metadata!E132,"urban biome"))</f>
        <v>0</v>
      </c>
      <c r="Z132">
        <f>AND(IF(metadata!F132="",FALSE,TRUE),exact(metadata!F132,"animal-associated habitat"))</f>
        <v>0</v>
      </c>
      <c r="AA132">
        <f>AND(IF(metadata!G132="",FALSE,TRUE),exact(metadata!G132,"mouse"))</f>
        <v>0</v>
      </c>
      <c r="AB132">
        <f>AND(IF(metadata!H132="",FALSE,TRUE),exact(metadata!H132,"Mus musculus"))</f>
        <v>0</v>
      </c>
      <c r="AC132">
        <f>AND(IF(metadata!I132="",FALSE,TRUE),exact(metadata!I132,"10090"))</f>
        <v>0</v>
      </c>
      <c r="AD132">
        <f>OR(AND(IF(metadata!J132="",FALSE,TRUE),OR(exact(metadata!J132,"not applicable"),exact(metadata!J132,"missing: not collected"),exact(metadata!J132,"missing: not provided"),exact(metadata!J132,"missing: restricted access"))),AND(IF(metadata!J132="",FALSE,ISNUMBER(VALUE(metadata!J132))),metadata!J132&gt;0))</f>
        <v>0</v>
      </c>
      <c r="AE132">
        <f>AND(IF(metadata!K132="",FALSE,TRUE),exact(metadata!K132,"g"))</f>
        <v>0</v>
      </c>
    </row>
    <row r="133" spans="1:31">
      <c r="A133" s="5">
        <f>IF(B133=" "," ",HYPERLINK(CONCATENATE("#metadata!",ADDRESS(INDEX($Q$2:$Q$1001,MATCH(ROWS($O$2:O133),$O$2:$O$1001,0),0),1)),INDEX($T$2:$T$1001,MATCH(ROWS($O$2:O133),$O$2:$O$1001,0),0)))</f>
        <v>0</v>
      </c>
      <c r="B133" s="4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4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4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4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4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4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4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4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4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4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OR(AND(IF(metadata!C133="",FALSE,TRUE),OR(exact(metadata!C133,"not applicable"),exact(metadata!C133,"missing: not collected"),exact(metadata!C133,"missing: not provided"),exact(metadata!C133,"missing: restricted access"))),AND(IF(metadata!C133="",FALSE,ISNUMBER(VALUE(metadata!C133))),metadata!C133&gt;0))</f>
        <v>0</v>
      </c>
      <c r="X133">
        <f>AND(IF(metadata!D133="",FALSE,TRUE),exact(metadata!D133,"weeks"))</f>
        <v>0</v>
      </c>
      <c r="Y133">
        <f>AND(IF(metadata!E133="",FALSE,TRUE),exact(metadata!E133,"urban biome"))</f>
        <v>0</v>
      </c>
      <c r="Z133">
        <f>AND(IF(metadata!F133="",FALSE,TRUE),exact(metadata!F133,"animal-associated habitat"))</f>
        <v>0</v>
      </c>
      <c r="AA133">
        <f>AND(IF(metadata!G133="",FALSE,TRUE),exact(metadata!G133,"mouse"))</f>
        <v>0</v>
      </c>
      <c r="AB133">
        <f>AND(IF(metadata!H133="",FALSE,TRUE),exact(metadata!H133,"Mus musculus"))</f>
        <v>0</v>
      </c>
      <c r="AC133">
        <f>AND(IF(metadata!I133="",FALSE,TRUE),exact(metadata!I133,"10090"))</f>
        <v>0</v>
      </c>
      <c r="AD133">
        <f>OR(AND(IF(metadata!J133="",FALSE,TRUE),OR(exact(metadata!J133,"not applicable"),exact(metadata!J133,"missing: not collected"),exact(metadata!J133,"missing: not provided"),exact(metadata!J133,"missing: restricted access"))),AND(IF(metadata!J133="",FALSE,ISNUMBER(VALUE(metadata!J133))),metadata!J133&gt;0))</f>
        <v>0</v>
      </c>
      <c r="AE133">
        <f>AND(IF(metadata!K133="",FALSE,TRUE),exact(metadata!K133,"g"))</f>
        <v>0</v>
      </c>
    </row>
    <row r="134" spans="1:31">
      <c r="A134" s="5">
        <f>IF(B134=" "," ",HYPERLINK(CONCATENATE("#metadata!",ADDRESS(INDEX($Q$2:$Q$1001,MATCH(ROWS($O$2:O134),$O$2:$O$1001,0),0),1)),INDEX($T$2:$T$1001,MATCH(ROWS($O$2:O134),$O$2:$O$1001,0),0)))</f>
        <v>0</v>
      </c>
      <c r="B134" s="4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4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4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4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4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4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4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4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4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4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OR(AND(IF(metadata!C134="",FALSE,TRUE),OR(exact(metadata!C134,"not applicable"),exact(metadata!C134,"missing: not collected"),exact(metadata!C134,"missing: not provided"),exact(metadata!C134,"missing: restricted access"))),AND(IF(metadata!C134="",FALSE,ISNUMBER(VALUE(metadata!C134))),metadata!C134&gt;0))</f>
        <v>0</v>
      </c>
      <c r="X134">
        <f>AND(IF(metadata!D134="",FALSE,TRUE),exact(metadata!D134,"weeks"))</f>
        <v>0</v>
      </c>
      <c r="Y134">
        <f>AND(IF(metadata!E134="",FALSE,TRUE),exact(metadata!E134,"urban biome"))</f>
        <v>0</v>
      </c>
      <c r="Z134">
        <f>AND(IF(metadata!F134="",FALSE,TRUE),exact(metadata!F134,"animal-associated habitat"))</f>
        <v>0</v>
      </c>
      <c r="AA134">
        <f>AND(IF(metadata!G134="",FALSE,TRUE),exact(metadata!G134,"mouse"))</f>
        <v>0</v>
      </c>
      <c r="AB134">
        <f>AND(IF(metadata!H134="",FALSE,TRUE),exact(metadata!H134,"Mus musculus"))</f>
        <v>0</v>
      </c>
      <c r="AC134">
        <f>AND(IF(metadata!I134="",FALSE,TRUE),exact(metadata!I134,"10090"))</f>
        <v>0</v>
      </c>
      <c r="AD134">
        <f>OR(AND(IF(metadata!J134="",FALSE,TRUE),OR(exact(metadata!J134,"not applicable"),exact(metadata!J134,"missing: not collected"),exact(metadata!J134,"missing: not provided"),exact(metadata!J134,"missing: restricted access"))),AND(IF(metadata!J134="",FALSE,ISNUMBER(VALUE(metadata!J134))),metadata!J134&gt;0))</f>
        <v>0</v>
      </c>
      <c r="AE134">
        <f>AND(IF(metadata!K134="",FALSE,TRUE),exact(metadata!K134,"g"))</f>
        <v>0</v>
      </c>
    </row>
    <row r="135" spans="1:31">
      <c r="A135" s="5">
        <f>IF(B135=" "," ",HYPERLINK(CONCATENATE("#metadata!",ADDRESS(INDEX($Q$2:$Q$1001,MATCH(ROWS($O$2:O135),$O$2:$O$1001,0),0),1)),INDEX($T$2:$T$1001,MATCH(ROWS($O$2:O135),$O$2:$O$1001,0),0)))</f>
        <v>0</v>
      </c>
      <c r="B135" s="4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4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4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4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4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4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4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4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4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4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OR(AND(IF(metadata!C135="",FALSE,TRUE),OR(exact(metadata!C135,"not applicable"),exact(metadata!C135,"missing: not collected"),exact(metadata!C135,"missing: not provided"),exact(metadata!C135,"missing: restricted access"))),AND(IF(metadata!C135="",FALSE,ISNUMBER(VALUE(metadata!C135))),metadata!C135&gt;0))</f>
        <v>0</v>
      </c>
      <c r="X135">
        <f>AND(IF(metadata!D135="",FALSE,TRUE),exact(metadata!D135,"weeks"))</f>
        <v>0</v>
      </c>
      <c r="Y135">
        <f>AND(IF(metadata!E135="",FALSE,TRUE),exact(metadata!E135,"urban biome"))</f>
        <v>0</v>
      </c>
      <c r="Z135">
        <f>AND(IF(metadata!F135="",FALSE,TRUE),exact(metadata!F135,"animal-associated habitat"))</f>
        <v>0</v>
      </c>
      <c r="AA135">
        <f>AND(IF(metadata!G135="",FALSE,TRUE),exact(metadata!G135,"mouse"))</f>
        <v>0</v>
      </c>
      <c r="AB135">
        <f>AND(IF(metadata!H135="",FALSE,TRUE),exact(metadata!H135,"Mus musculus"))</f>
        <v>0</v>
      </c>
      <c r="AC135">
        <f>AND(IF(metadata!I135="",FALSE,TRUE),exact(metadata!I135,"10090"))</f>
        <v>0</v>
      </c>
      <c r="AD135">
        <f>OR(AND(IF(metadata!J135="",FALSE,TRUE),OR(exact(metadata!J135,"not applicable"),exact(metadata!J135,"missing: not collected"),exact(metadata!J135,"missing: not provided"),exact(metadata!J135,"missing: restricted access"))),AND(IF(metadata!J135="",FALSE,ISNUMBER(VALUE(metadata!J135))),metadata!J135&gt;0))</f>
        <v>0</v>
      </c>
      <c r="AE135">
        <f>AND(IF(metadata!K135="",FALSE,TRUE),exact(metadata!K135,"g"))</f>
        <v>0</v>
      </c>
    </row>
    <row r="136" spans="1:31">
      <c r="A136" s="5">
        <f>IF(B136=" "," ",HYPERLINK(CONCATENATE("#metadata!",ADDRESS(INDEX($Q$2:$Q$1001,MATCH(ROWS($O$2:O136),$O$2:$O$1001,0),0),1)),INDEX($T$2:$T$1001,MATCH(ROWS($O$2:O136),$O$2:$O$1001,0),0)))</f>
        <v>0</v>
      </c>
      <c r="B136" s="4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4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4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4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4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4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4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4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4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4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OR(AND(IF(metadata!C136="",FALSE,TRUE),OR(exact(metadata!C136,"not applicable"),exact(metadata!C136,"missing: not collected"),exact(metadata!C136,"missing: not provided"),exact(metadata!C136,"missing: restricted access"))),AND(IF(metadata!C136="",FALSE,ISNUMBER(VALUE(metadata!C136))),metadata!C136&gt;0))</f>
        <v>0</v>
      </c>
      <c r="X136">
        <f>AND(IF(metadata!D136="",FALSE,TRUE),exact(metadata!D136,"weeks"))</f>
        <v>0</v>
      </c>
      <c r="Y136">
        <f>AND(IF(metadata!E136="",FALSE,TRUE),exact(metadata!E136,"urban biome"))</f>
        <v>0</v>
      </c>
      <c r="Z136">
        <f>AND(IF(metadata!F136="",FALSE,TRUE),exact(metadata!F136,"animal-associated habitat"))</f>
        <v>0</v>
      </c>
      <c r="AA136">
        <f>AND(IF(metadata!G136="",FALSE,TRUE),exact(metadata!G136,"mouse"))</f>
        <v>0</v>
      </c>
      <c r="AB136">
        <f>AND(IF(metadata!H136="",FALSE,TRUE),exact(metadata!H136,"Mus musculus"))</f>
        <v>0</v>
      </c>
      <c r="AC136">
        <f>AND(IF(metadata!I136="",FALSE,TRUE),exact(metadata!I136,"10090"))</f>
        <v>0</v>
      </c>
      <c r="AD136">
        <f>OR(AND(IF(metadata!J136="",FALSE,TRUE),OR(exact(metadata!J136,"not applicable"),exact(metadata!J136,"missing: not collected"),exact(metadata!J136,"missing: not provided"),exact(metadata!J136,"missing: restricted access"))),AND(IF(metadata!J136="",FALSE,ISNUMBER(VALUE(metadata!J136))),metadata!J136&gt;0))</f>
        <v>0</v>
      </c>
      <c r="AE136">
        <f>AND(IF(metadata!K136="",FALSE,TRUE),exact(metadata!K136,"g"))</f>
        <v>0</v>
      </c>
    </row>
    <row r="137" spans="1:31">
      <c r="A137" s="5">
        <f>IF(B137=" "," ",HYPERLINK(CONCATENATE("#metadata!",ADDRESS(INDEX($Q$2:$Q$1001,MATCH(ROWS($O$2:O137),$O$2:$O$1001,0),0),1)),INDEX($T$2:$T$1001,MATCH(ROWS($O$2:O137),$O$2:$O$1001,0),0)))</f>
        <v>0</v>
      </c>
      <c r="B137" s="4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4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4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4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4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4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4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4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4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4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OR(AND(IF(metadata!C137="",FALSE,TRUE),OR(exact(metadata!C137,"not applicable"),exact(metadata!C137,"missing: not collected"),exact(metadata!C137,"missing: not provided"),exact(metadata!C137,"missing: restricted access"))),AND(IF(metadata!C137="",FALSE,ISNUMBER(VALUE(metadata!C137))),metadata!C137&gt;0))</f>
        <v>0</v>
      </c>
      <c r="X137">
        <f>AND(IF(metadata!D137="",FALSE,TRUE),exact(metadata!D137,"weeks"))</f>
        <v>0</v>
      </c>
      <c r="Y137">
        <f>AND(IF(metadata!E137="",FALSE,TRUE),exact(metadata!E137,"urban biome"))</f>
        <v>0</v>
      </c>
      <c r="Z137">
        <f>AND(IF(metadata!F137="",FALSE,TRUE),exact(metadata!F137,"animal-associated habitat"))</f>
        <v>0</v>
      </c>
      <c r="AA137">
        <f>AND(IF(metadata!G137="",FALSE,TRUE),exact(metadata!G137,"mouse"))</f>
        <v>0</v>
      </c>
      <c r="AB137">
        <f>AND(IF(metadata!H137="",FALSE,TRUE),exact(metadata!H137,"Mus musculus"))</f>
        <v>0</v>
      </c>
      <c r="AC137">
        <f>AND(IF(metadata!I137="",FALSE,TRUE),exact(metadata!I137,"10090"))</f>
        <v>0</v>
      </c>
      <c r="AD137">
        <f>OR(AND(IF(metadata!J137="",FALSE,TRUE),OR(exact(metadata!J137,"not applicable"),exact(metadata!J137,"missing: not collected"),exact(metadata!J137,"missing: not provided"),exact(metadata!J137,"missing: restricted access"))),AND(IF(metadata!J137="",FALSE,ISNUMBER(VALUE(metadata!J137))),metadata!J137&gt;0))</f>
        <v>0</v>
      </c>
      <c r="AE137">
        <f>AND(IF(metadata!K137="",FALSE,TRUE),exact(metadata!K137,"g"))</f>
        <v>0</v>
      </c>
    </row>
    <row r="138" spans="1:31">
      <c r="A138" s="5">
        <f>IF(B138=" "," ",HYPERLINK(CONCATENATE("#metadata!",ADDRESS(INDEX($Q$2:$Q$1001,MATCH(ROWS($O$2:O138),$O$2:$O$1001,0),0),1)),INDEX($T$2:$T$1001,MATCH(ROWS($O$2:O138),$O$2:$O$1001,0),0)))</f>
        <v>0</v>
      </c>
      <c r="B138" s="4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4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4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4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4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4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4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4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4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4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OR(AND(IF(metadata!C138="",FALSE,TRUE),OR(exact(metadata!C138,"not applicable"),exact(metadata!C138,"missing: not collected"),exact(metadata!C138,"missing: not provided"),exact(metadata!C138,"missing: restricted access"))),AND(IF(metadata!C138="",FALSE,ISNUMBER(VALUE(metadata!C138))),metadata!C138&gt;0))</f>
        <v>0</v>
      </c>
      <c r="X138">
        <f>AND(IF(metadata!D138="",FALSE,TRUE),exact(metadata!D138,"weeks"))</f>
        <v>0</v>
      </c>
      <c r="Y138">
        <f>AND(IF(metadata!E138="",FALSE,TRUE),exact(metadata!E138,"urban biome"))</f>
        <v>0</v>
      </c>
      <c r="Z138">
        <f>AND(IF(metadata!F138="",FALSE,TRUE),exact(metadata!F138,"animal-associated habitat"))</f>
        <v>0</v>
      </c>
      <c r="AA138">
        <f>AND(IF(metadata!G138="",FALSE,TRUE),exact(metadata!G138,"mouse"))</f>
        <v>0</v>
      </c>
      <c r="AB138">
        <f>AND(IF(metadata!H138="",FALSE,TRUE),exact(metadata!H138,"Mus musculus"))</f>
        <v>0</v>
      </c>
      <c r="AC138">
        <f>AND(IF(metadata!I138="",FALSE,TRUE),exact(metadata!I138,"10090"))</f>
        <v>0</v>
      </c>
      <c r="AD138">
        <f>OR(AND(IF(metadata!J138="",FALSE,TRUE),OR(exact(metadata!J138,"not applicable"),exact(metadata!J138,"missing: not collected"),exact(metadata!J138,"missing: not provided"),exact(metadata!J138,"missing: restricted access"))),AND(IF(metadata!J138="",FALSE,ISNUMBER(VALUE(metadata!J138))),metadata!J138&gt;0))</f>
        <v>0</v>
      </c>
      <c r="AE138">
        <f>AND(IF(metadata!K138="",FALSE,TRUE),exact(metadata!K138,"g"))</f>
        <v>0</v>
      </c>
    </row>
    <row r="139" spans="1:31">
      <c r="A139" s="5">
        <f>IF(B139=" "," ",HYPERLINK(CONCATENATE("#metadata!",ADDRESS(INDEX($Q$2:$Q$1001,MATCH(ROWS($O$2:O139),$O$2:$O$1001,0),0),1)),INDEX($T$2:$T$1001,MATCH(ROWS($O$2:O139),$O$2:$O$1001,0),0)))</f>
        <v>0</v>
      </c>
      <c r="B139" s="4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4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4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4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4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4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4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4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4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4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OR(AND(IF(metadata!C139="",FALSE,TRUE),OR(exact(metadata!C139,"not applicable"),exact(metadata!C139,"missing: not collected"),exact(metadata!C139,"missing: not provided"),exact(metadata!C139,"missing: restricted access"))),AND(IF(metadata!C139="",FALSE,ISNUMBER(VALUE(metadata!C139))),metadata!C139&gt;0))</f>
        <v>0</v>
      </c>
      <c r="X139">
        <f>AND(IF(metadata!D139="",FALSE,TRUE),exact(metadata!D139,"weeks"))</f>
        <v>0</v>
      </c>
      <c r="Y139">
        <f>AND(IF(metadata!E139="",FALSE,TRUE),exact(metadata!E139,"urban biome"))</f>
        <v>0</v>
      </c>
      <c r="Z139">
        <f>AND(IF(metadata!F139="",FALSE,TRUE),exact(metadata!F139,"animal-associated habitat"))</f>
        <v>0</v>
      </c>
      <c r="AA139">
        <f>AND(IF(metadata!G139="",FALSE,TRUE),exact(metadata!G139,"mouse"))</f>
        <v>0</v>
      </c>
      <c r="AB139">
        <f>AND(IF(metadata!H139="",FALSE,TRUE),exact(metadata!H139,"Mus musculus"))</f>
        <v>0</v>
      </c>
      <c r="AC139">
        <f>AND(IF(metadata!I139="",FALSE,TRUE),exact(metadata!I139,"10090"))</f>
        <v>0</v>
      </c>
      <c r="AD139">
        <f>OR(AND(IF(metadata!J139="",FALSE,TRUE),OR(exact(metadata!J139,"not applicable"),exact(metadata!J139,"missing: not collected"),exact(metadata!J139,"missing: not provided"),exact(metadata!J139,"missing: restricted access"))),AND(IF(metadata!J139="",FALSE,ISNUMBER(VALUE(metadata!J139))),metadata!J139&gt;0))</f>
        <v>0</v>
      </c>
      <c r="AE139">
        <f>AND(IF(metadata!K139="",FALSE,TRUE),exact(metadata!K139,"g"))</f>
        <v>0</v>
      </c>
    </row>
    <row r="140" spans="1:31">
      <c r="A140" s="5">
        <f>IF(B140=" "," ",HYPERLINK(CONCATENATE("#metadata!",ADDRESS(INDEX($Q$2:$Q$1001,MATCH(ROWS($O$2:O140),$O$2:$O$1001,0),0),1)),INDEX($T$2:$T$1001,MATCH(ROWS($O$2:O140),$O$2:$O$1001,0),0)))</f>
        <v>0</v>
      </c>
      <c r="B140" s="4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4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4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4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4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4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4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4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4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4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OR(AND(IF(metadata!C140="",FALSE,TRUE),OR(exact(metadata!C140,"not applicable"),exact(metadata!C140,"missing: not collected"),exact(metadata!C140,"missing: not provided"),exact(metadata!C140,"missing: restricted access"))),AND(IF(metadata!C140="",FALSE,ISNUMBER(VALUE(metadata!C140))),metadata!C140&gt;0))</f>
        <v>0</v>
      </c>
      <c r="X140">
        <f>AND(IF(metadata!D140="",FALSE,TRUE),exact(metadata!D140,"weeks"))</f>
        <v>0</v>
      </c>
      <c r="Y140">
        <f>AND(IF(metadata!E140="",FALSE,TRUE),exact(metadata!E140,"urban biome"))</f>
        <v>0</v>
      </c>
      <c r="Z140">
        <f>AND(IF(metadata!F140="",FALSE,TRUE),exact(metadata!F140,"animal-associated habitat"))</f>
        <v>0</v>
      </c>
      <c r="AA140">
        <f>AND(IF(metadata!G140="",FALSE,TRUE),exact(metadata!G140,"mouse"))</f>
        <v>0</v>
      </c>
      <c r="AB140">
        <f>AND(IF(metadata!H140="",FALSE,TRUE),exact(metadata!H140,"Mus musculus"))</f>
        <v>0</v>
      </c>
      <c r="AC140">
        <f>AND(IF(metadata!I140="",FALSE,TRUE),exact(metadata!I140,"10090"))</f>
        <v>0</v>
      </c>
      <c r="AD140">
        <f>OR(AND(IF(metadata!J140="",FALSE,TRUE),OR(exact(metadata!J140,"not applicable"),exact(metadata!J140,"missing: not collected"),exact(metadata!J140,"missing: not provided"),exact(metadata!J140,"missing: restricted access"))),AND(IF(metadata!J140="",FALSE,ISNUMBER(VALUE(metadata!J140))),metadata!J140&gt;0))</f>
        <v>0</v>
      </c>
      <c r="AE140">
        <f>AND(IF(metadata!K140="",FALSE,TRUE),exact(metadata!K140,"g"))</f>
        <v>0</v>
      </c>
    </row>
    <row r="141" spans="1:31">
      <c r="A141" s="5">
        <f>IF(B141=" "," ",HYPERLINK(CONCATENATE("#metadata!",ADDRESS(INDEX($Q$2:$Q$1001,MATCH(ROWS($O$2:O141),$O$2:$O$1001,0),0),1)),INDEX($T$2:$T$1001,MATCH(ROWS($O$2:O141),$O$2:$O$1001,0),0)))</f>
        <v>0</v>
      </c>
      <c r="B141" s="4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4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4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4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4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4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4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4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4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4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OR(AND(IF(metadata!C141="",FALSE,TRUE),OR(exact(metadata!C141,"not applicable"),exact(metadata!C141,"missing: not collected"),exact(metadata!C141,"missing: not provided"),exact(metadata!C141,"missing: restricted access"))),AND(IF(metadata!C141="",FALSE,ISNUMBER(VALUE(metadata!C141))),metadata!C141&gt;0))</f>
        <v>0</v>
      </c>
      <c r="X141">
        <f>AND(IF(metadata!D141="",FALSE,TRUE),exact(metadata!D141,"weeks"))</f>
        <v>0</v>
      </c>
      <c r="Y141">
        <f>AND(IF(metadata!E141="",FALSE,TRUE),exact(metadata!E141,"urban biome"))</f>
        <v>0</v>
      </c>
      <c r="Z141">
        <f>AND(IF(metadata!F141="",FALSE,TRUE),exact(metadata!F141,"animal-associated habitat"))</f>
        <v>0</v>
      </c>
      <c r="AA141">
        <f>AND(IF(metadata!G141="",FALSE,TRUE),exact(metadata!G141,"mouse"))</f>
        <v>0</v>
      </c>
      <c r="AB141">
        <f>AND(IF(metadata!H141="",FALSE,TRUE),exact(metadata!H141,"Mus musculus"))</f>
        <v>0</v>
      </c>
      <c r="AC141">
        <f>AND(IF(metadata!I141="",FALSE,TRUE),exact(metadata!I141,"10090"))</f>
        <v>0</v>
      </c>
      <c r="AD141">
        <f>OR(AND(IF(metadata!J141="",FALSE,TRUE),OR(exact(metadata!J141,"not applicable"),exact(metadata!J141,"missing: not collected"),exact(metadata!J141,"missing: not provided"),exact(metadata!J141,"missing: restricted access"))),AND(IF(metadata!J141="",FALSE,ISNUMBER(VALUE(metadata!J141))),metadata!J141&gt;0))</f>
        <v>0</v>
      </c>
      <c r="AE141">
        <f>AND(IF(metadata!K141="",FALSE,TRUE),exact(metadata!K141,"g"))</f>
        <v>0</v>
      </c>
    </row>
    <row r="142" spans="1:31">
      <c r="A142" s="5">
        <f>IF(B142=" "," ",HYPERLINK(CONCATENATE("#metadata!",ADDRESS(INDEX($Q$2:$Q$1001,MATCH(ROWS($O$2:O142),$O$2:$O$1001,0),0),1)),INDEX($T$2:$T$1001,MATCH(ROWS($O$2:O142),$O$2:$O$1001,0),0)))</f>
        <v>0</v>
      </c>
      <c r="B142" s="4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4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4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4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4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4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4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4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4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4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OR(AND(IF(metadata!C142="",FALSE,TRUE),OR(exact(metadata!C142,"not applicable"),exact(metadata!C142,"missing: not collected"),exact(metadata!C142,"missing: not provided"),exact(metadata!C142,"missing: restricted access"))),AND(IF(metadata!C142="",FALSE,ISNUMBER(VALUE(metadata!C142))),metadata!C142&gt;0))</f>
        <v>0</v>
      </c>
      <c r="X142">
        <f>AND(IF(metadata!D142="",FALSE,TRUE),exact(metadata!D142,"weeks"))</f>
        <v>0</v>
      </c>
      <c r="Y142">
        <f>AND(IF(metadata!E142="",FALSE,TRUE),exact(metadata!E142,"urban biome"))</f>
        <v>0</v>
      </c>
      <c r="Z142">
        <f>AND(IF(metadata!F142="",FALSE,TRUE),exact(metadata!F142,"animal-associated habitat"))</f>
        <v>0</v>
      </c>
      <c r="AA142">
        <f>AND(IF(metadata!G142="",FALSE,TRUE),exact(metadata!G142,"mouse"))</f>
        <v>0</v>
      </c>
      <c r="AB142">
        <f>AND(IF(metadata!H142="",FALSE,TRUE),exact(metadata!H142,"Mus musculus"))</f>
        <v>0</v>
      </c>
      <c r="AC142">
        <f>AND(IF(metadata!I142="",FALSE,TRUE),exact(metadata!I142,"10090"))</f>
        <v>0</v>
      </c>
      <c r="AD142">
        <f>OR(AND(IF(metadata!J142="",FALSE,TRUE),OR(exact(metadata!J142,"not applicable"),exact(metadata!J142,"missing: not collected"),exact(metadata!J142,"missing: not provided"),exact(metadata!J142,"missing: restricted access"))),AND(IF(metadata!J142="",FALSE,ISNUMBER(VALUE(metadata!J142))),metadata!J142&gt;0))</f>
        <v>0</v>
      </c>
      <c r="AE142">
        <f>AND(IF(metadata!K142="",FALSE,TRUE),exact(metadata!K142,"g"))</f>
        <v>0</v>
      </c>
    </row>
    <row r="143" spans="1:31">
      <c r="A143" s="5">
        <f>IF(B143=" "," ",HYPERLINK(CONCATENATE("#metadata!",ADDRESS(INDEX($Q$2:$Q$1001,MATCH(ROWS($O$2:O143),$O$2:$O$1001,0),0),1)),INDEX($T$2:$T$1001,MATCH(ROWS($O$2:O143),$O$2:$O$1001,0),0)))</f>
        <v>0</v>
      </c>
      <c r="B143" s="4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4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4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4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4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4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4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4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4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4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OR(AND(IF(metadata!C143="",FALSE,TRUE),OR(exact(metadata!C143,"not applicable"),exact(metadata!C143,"missing: not collected"),exact(metadata!C143,"missing: not provided"),exact(metadata!C143,"missing: restricted access"))),AND(IF(metadata!C143="",FALSE,ISNUMBER(VALUE(metadata!C143))),metadata!C143&gt;0))</f>
        <v>0</v>
      </c>
      <c r="X143">
        <f>AND(IF(metadata!D143="",FALSE,TRUE),exact(metadata!D143,"weeks"))</f>
        <v>0</v>
      </c>
      <c r="Y143">
        <f>AND(IF(metadata!E143="",FALSE,TRUE),exact(metadata!E143,"urban biome"))</f>
        <v>0</v>
      </c>
      <c r="Z143">
        <f>AND(IF(metadata!F143="",FALSE,TRUE),exact(metadata!F143,"animal-associated habitat"))</f>
        <v>0</v>
      </c>
      <c r="AA143">
        <f>AND(IF(metadata!G143="",FALSE,TRUE),exact(metadata!G143,"mouse"))</f>
        <v>0</v>
      </c>
      <c r="AB143">
        <f>AND(IF(metadata!H143="",FALSE,TRUE),exact(metadata!H143,"Mus musculus"))</f>
        <v>0</v>
      </c>
      <c r="AC143">
        <f>AND(IF(metadata!I143="",FALSE,TRUE),exact(metadata!I143,"10090"))</f>
        <v>0</v>
      </c>
      <c r="AD143">
        <f>OR(AND(IF(metadata!J143="",FALSE,TRUE),OR(exact(metadata!J143,"not applicable"),exact(metadata!J143,"missing: not collected"),exact(metadata!J143,"missing: not provided"),exact(metadata!J143,"missing: restricted access"))),AND(IF(metadata!J143="",FALSE,ISNUMBER(VALUE(metadata!J143))),metadata!J143&gt;0))</f>
        <v>0</v>
      </c>
      <c r="AE143">
        <f>AND(IF(metadata!K143="",FALSE,TRUE),exact(metadata!K143,"g"))</f>
        <v>0</v>
      </c>
    </row>
    <row r="144" spans="1:31">
      <c r="A144" s="5">
        <f>IF(B144=" "," ",HYPERLINK(CONCATENATE("#metadata!",ADDRESS(INDEX($Q$2:$Q$1001,MATCH(ROWS($O$2:O144),$O$2:$O$1001,0),0),1)),INDEX($T$2:$T$1001,MATCH(ROWS($O$2:O144),$O$2:$O$1001,0),0)))</f>
        <v>0</v>
      </c>
      <c r="B144" s="4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4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4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4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4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4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4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4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4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4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OR(AND(IF(metadata!C144="",FALSE,TRUE),OR(exact(metadata!C144,"not applicable"),exact(metadata!C144,"missing: not collected"),exact(metadata!C144,"missing: not provided"),exact(metadata!C144,"missing: restricted access"))),AND(IF(metadata!C144="",FALSE,ISNUMBER(VALUE(metadata!C144))),metadata!C144&gt;0))</f>
        <v>0</v>
      </c>
      <c r="X144">
        <f>AND(IF(metadata!D144="",FALSE,TRUE),exact(metadata!D144,"weeks"))</f>
        <v>0</v>
      </c>
      <c r="Y144">
        <f>AND(IF(metadata!E144="",FALSE,TRUE),exact(metadata!E144,"urban biome"))</f>
        <v>0</v>
      </c>
      <c r="Z144">
        <f>AND(IF(metadata!F144="",FALSE,TRUE),exact(metadata!F144,"animal-associated habitat"))</f>
        <v>0</v>
      </c>
      <c r="AA144">
        <f>AND(IF(metadata!G144="",FALSE,TRUE),exact(metadata!G144,"mouse"))</f>
        <v>0</v>
      </c>
      <c r="AB144">
        <f>AND(IF(metadata!H144="",FALSE,TRUE),exact(metadata!H144,"Mus musculus"))</f>
        <v>0</v>
      </c>
      <c r="AC144">
        <f>AND(IF(metadata!I144="",FALSE,TRUE),exact(metadata!I144,"10090"))</f>
        <v>0</v>
      </c>
      <c r="AD144">
        <f>OR(AND(IF(metadata!J144="",FALSE,TRUE),OR(exact(metadata!J144,"not applicable"),exact(metadata!J144,"missing: not collected"),exact(metadata!J144,"missing: not provided"),exact(metadata!J144,"missing: restricted access"))),AND(IF(metadata!J144="",FALSE,ISNUMBER(VALUE(metadata!J144))),metadata!J144&gt;0))</f>
        <v>0</v>
      </c>
      <c r="AE144">
        <f>AND(IF(metadata!K144="",FALSE,TRUE),exact(metadata!K144,"g"))</f>
        <v>0</v>
      </c>
    </row>
    <row r="145" spans="1:31">
      <c r="A145" s="5">
        <f>IF(B145=" "," ",HYPERLINK(CONCATENATE("#metadata!",ADDRESS(INDEX($Q$2:$Q$1001,MATCH(ROWS($O$2:O145),$O$2:$O$1001,0),0),1)),INDEX($T$2:$T$1001,MATCH(ROWS($O$2:O145),$O$2:$O$1001,0),0)))</f>
        <v>0</v>
      </c>
      <c r="B145" s="4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4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4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4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4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4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4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4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4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4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OR(AND(IF(metadata!C145="",FALSE,TRUE),OR(exact(metadata!C145,"not applicable"),exact(metadata!C145,"missing: not collected"),exact(metadata!C145,"missing: not provided"),exact(metadata!C145,"missing: restricted access"))),AND(IF(metadata!C145="",FALSE,ISNUMBER(VALUE(metadata!C145))),metadata!C145&gt;0))</f>
        <v>0</v>
      </c>
      <c r="X145">
        <f>AND(IF(metadata!D145="",FALSE,TRUE),exact(metadata!D145,"weeks"))</f>
        <v>0</v>
      </c>
      <c r="Y145">
        <f>AND(IF(metadata!E145="",FALSE,TRUE),exact(metadata!E145,"urban biome"))</f>
        <v>0</v>
      </c>
      <c r="Z145">
        <f>AND(IF(metadata!F145="",FALSE,TRUE),exact(metadata!F145,"animal-associated habitat"))</f>
        <v>0</v>
      </c>
      <c r="AA145">
        <f>AND(IF(metadata!G145="",FALSE,TRUE),exact(metadata!G145,"mouse"))</f>
        <v>0</v>
      </c>
      <c r="AB145">
        <f>AND(IF(metadata!H145="",FALSE,TRUE),exact(metadata!H145,"Mus musculus"))</f>
        <v>0</v>
      </c>
      <c r="AC145">
        <f>AND(IF(metadata!I145="",FALSE,TRUE),exact(metadata!I145,"10090"))</f>
        <v>0</v>
      </c>
      <c r="AD145">
        <f>OR(AND(IF(metadata!J145="",FALSE,TRUE),OR(exact(metadata!J145,"not applicable"),exact(metadata!J145,"missing: not collected"),exact(metadata!J145,"missing: not provided"),exact(metadata!J145,"missing: restricted access"))),AND(IF(metadata!J145="",FALSE,ISNUMBER(VALUE(metadata!J145))),metadata!J145&gt;0))</f>
        <v>0</v>
      </c>
      <c r="AE145">
        <f>AND(IF(metadata!K145="",FALSE,TRUE),exact(metadata!K145,"g"))</f>
        <v>0</v>
      </c>
    </row>
    <row r="146" spans="1:31">
      <c r="A146" s="5">
        <f>IF(B146=" "," ",HYPERLINK(CONCATENATE("#metadata!",ADDRESS(INDEX($Q$2:$Q$1001,MATCH(ROWS($O$2:O146),$O$2:$O$1001,0),0),1)),INDEX($T$2:$T$1001,MATCH(ROWS($O$2:O146),$O$2:$O$1001,0),0)))</f>
        <v>0</v>
      </c>
      <c r="B146" s="4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4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4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4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4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4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4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4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4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4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OR(AND(IF(metadata!C146="",FALSE,TRUE),OR(exact(metadata!C146,"not applicable"),exact(metadata!C146,"missing: not collected"),exact(metadata!C146,"missing: not provided"),exact(metadata!C146,"missing: restricted access"))),AND(IF(metadata!C146="",FALSE,ISNUMBER(VALUE(metadata!C146))),metadata!C146&gt;0))</f>
        <v>0</v>
      </c>
      <c r="X146">
        <f>AND(IF(metadata!D146="",FALSE,TRUE),exact(metadata!D146,"weeks"))</f>
        <v>0</v>
      </c>
      <c r="Y146">
        <f>AND(IF(metadata!E146="",FALSE,TRUE),exact(metadata!E146,"urban biome"))</f>
        <v>0</v>
      </c>
      <c r="Z146">
        <f>AND(IF(metadata!F146="",FALSE,TRUE),exact(metadata!F146,"animal-associated habitat"))</f>
        <v>0</v>
      </c>
      <c r="AA146">
        <f>AND(IF(metadata!G146="",FALSE,TRUE),exact(metadata!G146,"mouse"))</f>
        <v>0</v>
      </c>
      <c r="AB146">
        <f>AND(IF(metadata!H146="",FALSE,TRUE),exact(metadata!H146,"Mus musculus"))</f>
        <v>0</v>
      </c>
      <c r="AC146">
        <f>AND(IF(metadata!I146="",FALSE,TRUE),exact(metadata!I146,"10090"))</f>
        <v>0</v>
      </c>
      <c r="AD146">
        <f>OR(AND(IF(metadata!J146="",FALSE,TRUE),OR(exact(metadata!J146,"not applicable"),exact(metadata!J146,"missing: not collected"),exact(metadata!J146,"missing: not provided"),exact(metadata!J146,"missing: restricted access"))),AND(IF(metadata!J146="",FALSE,ISNUMBER(VALUE(metadata!J146))),metadata!J146&gt;0))</f>
        <v>0</v>
      </c>
      <c r="AE146">
        <f>AND(IF(metadata!K146="",FALSE,TRUE),exact(metadata!K146,"g"))</f>
        <v>0</v>
      </c>
    </row>
    <row r="147" spans="1:31">
      <c r="A147" s="5">
        <f>IF(B147=" "," ",HYPERLINK(CONCATENATE("#metadata!",ADDRESS(INDEX($Q$2:$Q$1001,MATCH(ROWS($O$2:O147),$O$2:$O$1001,0),0),1)),INDEX($T$2:$T$1001,MATCH(ROWS($O$2:O147),$O$2:$O$1001,0),0)))</f>
        <v>0</v>
      </c>
      <c r="B147" s="4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4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4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4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4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4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4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4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4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4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OR(AND(IF(metadata!C147="",FALSE,TRUE),OR(exact(metadata!C147,"not applicable"),exact(metadata!C147,"missing: not collected"),exact(metadata!C147,"missing: not provided"),exact(metadata!C147,"missing: restricted access"))),AND(IF(metadata!C147="",FALSE,ISNUMBER(VALUE(metadata!C147))),metadata!C147&gt;0))</f>
        <v>0</v>
      </c>
      <c r="X147">
        <f>AND(IF(metadata!D147="",FALSE,TRUE),exact(metadata!D147,"weeks"))</f>
        <v>0</v>
      </c>
      <c r="Y147">
        <f>AND(IF(metadata!E147="",FALSE,TRUE),exact(metadata!E147,"urban biome"))</f>
        <v>0</v>
      </c>
      <c r="Z147">
        <f>AND(IF(metadata!F147="",FALSE,TRUE),exact(metadata!F147,"animal-associated habitat"))</f>
        <v>0</v>
      </c>
      <c r="AA147">
        <f>AND(IF(metadata!G147="",FALSE,TRUE),exact(metadata!G147,"mouse"))</f>
        <v>0</v>
      </c>
      <c r="AB147">
        <f>AND(IF(metadata!H147="",FALSE,TRUE),exact(metadata!H147,"Mus musculus"))</f>
        <v>0</v>
      </c>
      <c r="AC147">
        <f>AND(IF(metadata!I147="",FALSE,TRUE),exact(metadata!I147,"10090"))</f>
        <v>0</v>
      </c>
      <c r="AD147">
        <f>OR(AND(IF(metadata!J147="",FALSE,TRUE),OR(exact(metadata!J147,"not applicable"),exact(metadata!J147,"missing: not collected"),exact(metadata!J147,"missing: not provided"),exact(metadata!J147,"missing: restricted access"))),AND(IF(metadata!J147="",FALSE,ISNUMBER(VALUE(metadata!J147))),metadata!J147&gt;0))</f>
        <v>0</v>
      </c>
      <c r="AE147">
        <f>AND(IF(metadata!K147="",FALSE,TRUE),exact(metadata!K147,"g"))</f>
        <v>0</v>
      </c>
    </row>
    <row r="148" spans="1:31">
      <c r="A148" s="5">
        <f>IF(B148=" "," ",HYPERLINK(CONCATENATE("#metadata!",ADDRESS(INDEX($Q$2:$Q$1001,MATCH(ROWS($O$2:O148),$O$2:$O$1001,0),0),1)),INDEX($T$2:$T$1001,MATCH(ROWS($O$2:O148),$O$2:$O$1001,0),0)))</f>
        <v>0</v>
      </c>
      <c r="B148" s="4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4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4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4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4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4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4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4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4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4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OR(AND(IF(metadata!C148="",FALSE,TRUE),OR(exact(metadata!C148,"not applicable"),exact(metadata!C148,"missing: not collected"),exact(metadata!C148,"missing: not provided"),exact(metadata!C148,"missing: restricted access"))),AND(IF(metadata!C148="",FALSE,ISNUMBER(VALUE(metadata!C148))),metadata!C148&gt;0))</f>
        <v>0</v>
      </c>
      <c r="X148">
        <f>AND(IF(metadata!D148="",FALSE,TRUE),exact(metadata!D148,"weeks"))</f>
        <v>0</v>
      </c>
      <c r="Y148">
        <f>AND(IF(metadata!E148="",FALSE,TRUE),exact(metadata!E148,"urban biome"))</f>
        <v>0</v>
      </c>
      <c r="Z148">
        <f>AND(IF(metadata!F148="",FALSE,TRUE),exact(metadata!F148,"animal-associated habitat"))</f>
        <v>0</v>
      </c>
      <c r="AA148">
        <f>AND(IF(metadata!G148="",FALSE,TRUE),exact(metadata!G148,"mouse"))</f>
        <v>0</v>
      </c>
      <c r="AB148">
        <f>AND(IF(metadata!H148="",FALSE,TRUE),exact(metadata!H148,"Mus musculus"))</f>
        <v>0</v>
      </c>
      <c r="AC148">
        <f>AND(IF(metadata!I148="",FALSE,TRUE),exact(metadata!I148,"10090"))</f>
        <v>0</v>
      </c>
      <c r="AD148">
        <f>OR(AND(IF(metadata!J148="",FALSE,TRUE),OR(exact(metadata!J148,"not applicable"),exact(metadata!J148,"missing: not collected"),exact(metadata!J148,"missing: not provided"),exact(metadata!J148,"missing: restricted access"))),AND(IF(metadata!J148="",FALSE,ISNUMBER(VALUE(metadata!J148))),metadata!J148&gt;0))</f>
        <v>0</v>
      </c>
      <c r="AE148">
        <f>AND(IF(metadata!K148="",FALSE,TRUE),exact(metadata!K148,"g"))</f>
        <v>0</v>
      </c>
    </row>
    <row r="149" spans="1:31">
      <c r="A149" s="5">
        <f>IF(B149=" "," ",HYPERLINK(CONCATENATE("#metadata!",ADDRESS(INDEX($Q$2:$Q$1001,MATCH(ROWS($O$2:O149),$O$2:$O$1001,0),0),1)),INDEX($T$2:$T$1001,MATCH(ROWS($O$2:O149),$O$2:$O$1001,0),0)))</f>
        <v>0</v>
      </c>
      <c r="B149" s="4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4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4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4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4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4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4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4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4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4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OR(AND(IF(metadata!C149="",FALSE,TRUE),OR(exact(metadata!C149,"not applicable"),exact(metadata!C149,"missing: not collected"),exact(metadata!C149,"missing: not provided"),exact(metadata!C149,"missing: restricted access"))),AND(IF(metadata!C149="",FALSE,ISNUMBER(VALUE(metadata!C149))),metadata!C149&gt;0))</f>
        <v>0</v>
      </c>
      <c r="X149">
        <f>AND(IF(metadata!D149="",FALSE,TRUE),exact(metadata!D149,"weeks"))</f>
        <v>0</v>
      </c>
      <c r="Y149">
        <f>AND(IF(metadata!E149="",FALSE,TRUE),exact(metadata!E149,"urban biome"))</f>
        <v>0</v>
      </c>
      <c r="Z149">
        <f>AND(IF(metadata!F149="",FALSE,TRUE),exact(metadata!F149,"animal-associated habitat"))</f>
        <v>0</v>
      </c>
      <c r="AA149">
        <f>AND(IF(metadata!G149="",FALSE,TRUE),exact(metadata!G149,"mouse"))</f>
        <v>0</v>
      </c>
      <c r="AB149">
        <f>AND(IF(metadata!H149="",FALSE,TRUE),exact(metadata!H149,"Mus musculus"))</f>
        <v>0</v>
      </c>
      <c r="AC149">
        <f>AND(IF(metadata!I149="",FALSE,TRUE),exact(metadata!I149,"10090"))</f>
        <v>0</v>
      </c>
      <c r="AD149">
        <f>OR(AND(IF(metadata!J149="",FALSE,TRUE),OR(exact(metadata!J149,"not applicable"),exact(metadata!J149,"missing: not collected"),exact(metadata!J149,"missing: not provided"),exact(metadata!J149,"missing: restricted access"))),AND(IF(metadata!J149="",FALSE,ISNUMBER(VALUE(metadata!J149))),metadata!J149&gt;0))</f>
        <v>0</v>
      </c>
      <c r="AE149">
        <f>AND(IF(metadata!K149="",FALSE,TRUE),exact(metadata!K149,"g"))</f>
        <v>0</v>
      </c>
    </row>
    <row r="150" spans="1:31">
      <c r="A150" s="5">
        <f>IF(B150=" "," ",HYPERLINK(CONCATENATE("#metadata!",ADDRESS(INDEX($Q$2:$Q$1001,MATCH(ROWS($O$2:O150),$O$2:$O$1001,0),0),1)),INDEX($T$2:$T$1001,MATCH(ROWS($O$2:O150),$O$2:$O$1001,0),0)))</f>
        <v>0</v>
      </c>
      <c r="B150" s="4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4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4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4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4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4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4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4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4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4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OR(AND(IF(metadata!C150="",FALSE,TRUE),OR(exact(metadata!C150,"not applicable"),exact(metadata!C150,"missing: not collected"),exact(metadata!C150,"missing: not provided"),exact(metadata!C150,"missing: restricted access"))),AND(IF(metadata!C150="",FALSE,ISNUMBER(VALUE(metadata!C150))),metadata!C150&gt;0))</f>
        <v>0</v>
      </c>
      <c r="X150">
        <f>AND(IF(metadata!D150="",FALSE,TRUE),exact(metadata!D150,"weeks"))</f>
        <v>0</v>
      </c>
      <c r="Y150">
        <f>AND(IF(metadata!E150="",FALSE,TRUE),exact(metadata!E150,"urban biome"))</f>
        <v>0</v>
      </c>
      <c r="Z150">
        <f>AND(IF(metadata!F150="",FALSE,TRUE),exact(metadata!F150,"animal-associated habitat"))</f>
        <v>0</v>
      </c>
      <c r="AA150">
        <f>AND(IF(metadata!G150="",FALSE,TRUE),exact(metadata!G150,"mouse"))</f>
        <v>0</v>
      </c>
      <c r="AB150">
        <f>AND(IF(metadata!H150="",FALSE,TRUE),exact(metadata!H150,"Mus musculus"))</f>
        <v>0</v>
      </c>
      <c r="AC150">
        <f>AND(IF(metadata!I150="",FALSE,TRUE),exact(metadata!I150,"10090"))</f>
        <v>0</v>
      </c>
      <c r="AD150">
        <f>OR(AND(IF(metadata!J150="",FALSE,TRUE),OR(exact(metadata!J150,"not applicable"),exact(metadata!J150,"missing: not collected"),exact(metadata!J150,"missing: not provided"),exact(metadata!J150,"missing: restricted access"))),AND(IF(metadata!J150="",FALSE,ISNUMBER(VALUE(metadata!J150))),metadata!J150&gt;0))</f>
        <v>0</v>
      </c>
      <c r="AE150">
        <f>AND(IF(metadata!K150="",FALSE,TRUE),exact(metadata!K150,"g"))</f>
        <v>0</v>
      </c>
    </row>
    <row r="151" spans="1:31">
      <c r="A151" s="5">
        <f>IF(B151=" "," ",HYPERLINK(CONCATENATE("#metadata!",ADDRESS(INDEX($Q$2:$Q$1001,MATCH(ROWS($O$2:O151),$O$2:$O$1001,0),0),1)),INDEX($T$2:$T$1001,MATCH(ROWS($O$2:O151),$O$2:$O$1001,0),0)))</f>
        <v>0</v>
      </c>
      <c r="B151" s="4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4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4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4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4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4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4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4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4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4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OR(AND(IF(metadata!C151="",FALSE,TRUE),OR(exact(metadata!C151,"not applicable"),exact(metadata!C151,"missing: not collected"),exact(metadata!C151,"missing: not provided"),exact(metadata!C151,"missing: restricted access"))),AND(IF(metadata!C151="",FALSE,ISNUMBER(VALUE(metadata!C151))),metadata!C151&gt;0))</f>
        <v>0</v>
      </c>
      <c r="X151">
        <f>AND(IF(metadata!D151="",FALSE,TRUE),exact(metadata!D151,"weeks"))</f>
        <v>0</v>
      </c>
      <c r="Y151">
        <f>AND(IF(metadata!E151="",FALSE,TRUE),exact(metadata!E151,"urban biome"))</f>
        <v>0</v>
      </c>
      <c r="Z151">
        <f>AND(IF(metadata!F151="",FALSE,TRUE),exact(metadata!F151,"animal-associated habitat"))</f>
        <v>0</v>
      </c>
      <c r="AA151">
        <f>AND(IF(metadata!G151="",FALSE,TRUE),exact(metadata!G151,"mouse"))</f>
        <v>0</v>
      </c>
      <c r="AB151">
        <f>AND(IF(metadata!H151="",FALSE,TRUE),exact(metadata!H151,"Mus musculus"))</f>
        <v>0</v>
      </c>
      <c r="AC151">
        <f>AND(IF(metadata!I151="",FALSE,TRUE),exact(metadata!I151,"10090"))</f>
        <v>0</v>
      </c>
      <c r="AD151">
        <f>OR(AND(IF(metadata!J151="",FALSE,TRUE),OR(exact(metadata!J151,"not applicable"),exact(metadata!J151,"missing: not collected"),exact(metadata!J151,"missing: not provided"),exact(metadata!J151,"missing: restricted access"))),AND(IF(metadata!J151="",FALSE,ISNUMBER(VALUE(metadata!J151))),metadata!J151&gt;0))</f>
        <v>0</v>
      </c>
      <c r="AE151">
        <f>AND(IF(metadata!K151="",FALSE,TRUE),exact(metadata!K151,"g"))</f>
        <v>0</v>
      </c>
    </row>
    <row r="152" spans="1:31">
      <c r="A152" s="5">
        <f>IF(B152=" "," ",HYPERLINK(CONCATENATE("#metadata!",ADDRESS(INDEX($Q$2:$Q$1001,MATCH(ROWS($O$2:O152),$O$2:$O$1001,0),0),1)),INDEX($T$2:$T$1001,MATCH(ROWS($O$2:O152),$O$2:$O$1001,0),0)))</f>
        <v>0</v>
      </c>
      <c r="B152" s="4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4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4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4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4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4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4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4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4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4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OR(AND(IF(metadata!C152="",FALSE,TRUE),OR(exact(metadata!C152,"not applicable"),exact(metadata!C152,"missing: not collected"),exact(metadata!C152,"missing: not provided"),exact(metadata!C152,"missing: restricted access"))),AND(IF(metadata!C152="",FALSE,ISNUMBER(VALUE(metadata!C152))),metadata!C152&gt;0))</f>
        <v>0</v>
      </c>
      <c r="X152">
        <f>AND(IF(metadata!D152="",FALSE,TRUE),exact(metadata!D152,"weeks"))</f>
        <v>0</v>
      </c>
      <c r="Y152">
        <f>AND(IF(metadata!E152="",FALSE,TRUE),exact(metadata!E152,"urban biome"))</f>
        <v>0</v>
      </c>
      <c r="Z152">
        <f>AND(IF(metadata!F152="",FALSE,TRUE),exact(metadata!F152,"animal-associated habitat"))</f>
        <v>0</v>
      </c>
      <c r="AA152">
        <f>AND(IF(metadata!G152="",FALSE,TRUE),exact(metadata!G152,"mouse"))</f>
        <v>0</v>
      </c>
      <c r="AB152">
        <f>AND(IF(metadata!H152="",FALSE,TRUE),exact(metadata!H152,"Mus musculus"))</f>
        <v>0</v>
      </c>
      <c r="AC152">
        <f>AND(IF(metadata!I152="",FALSE,TRUE),exact(metadata!I152,"10090"))</f>
        <v>0</v>
      </c>
      <c r="AD152">
        <f>OR(AND(IF(metadata!J152="",FALSE,TRUE),OR(exact(metadata!J152,"not applicable"),exact(metadata!J152,"missing: not collected"),exact(metadata!J152,"missing: not provided"),exact(metadata!J152,"missing: restricted access"))),AND(IF(metadata!J152="",FALSE,ISNUMBER(VALUE(metadata!J152))),metadata!J152&gt;0))</f>
        <v>0</v>
      </c>
      <c r="AE152">
        <f>AND(IF(metadata!K152="",FALSE,TRUE),exact(metadata!K152,"g"))</f>
        <v>0</v>
      </c>
    </row>
    <row r="153" spans="1:31">
      <c r="A153" s="5">
        <f>IF(B153=" "," ",HYPERLINK(CONCATENATE("#metadata!",ADDRESS(INDEX($Q$2:$Q$1001,MATCH(ROWS($O$2:O153),$O$2:$O$1001,0),0),1)),INDEX($T$2:$T$1001,MATCH(ROWS($O$2:O153),$O$2:$O$1001,0),0)))</f>
        <v>0</v>
      </c>
      <c r="B153" s="4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4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4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4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4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4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4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4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4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4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OR(AND(IF(metadata!C153="",FALSE,TRUE),OR(exact(metadata!C153,"not applicable"),exact(metadata!C153,"missing: not collected"),exact(metadata!C153,"missing: not provided"),exact(metadata!C153,"missing: restricted access"))),AND(IF(metadata!C153="",FALSE,ISNUMBER(VALUE(metadata!C153))),metadata!C153&gt;0))</f>
        <v>0</v>
      </c>
      <c r="X153">
        <f>AND(IF(metadata!D153="",FALSE,TRUE),exact(metadata!D153,"weeks"))</f>
        <v>0</v>
      </c>
      <c r="Y153">
        <f>AND(IF(metadata!E153="",FALSE,TRUE),exact(metadata!E153,"urban biome"))</f>
        <v>0</v>
      </c>
      <c r="Z153">
        <f>AND(IF(metadata!F153="",FALSE,TRUE),exact(metadata!F153,"animal-associated habitat"))</f>
        <v>0</v>
      </c>
      <c r="AA153">
        <f>AND(IF(metadata!G153="",FALSE,TRUE),exact(metadata!G153,"mouse"))</f>
        <v>0</v>
      </c>
      <c r="AB153">
        <f>AND(IF(metadata!H153="",FALSE,TRUE),exact(metadata!H153,"Mus musculus"))</f>
        <v>0</v>
      </c>
      <c r="AC153">
        <f>AND(IF(metadata!I153="",FALSE,TRUE),exact(metadata!I153,"10090"))</f>
        <v>0</v>
      </c>
      <c r="AD153">
        <f>OR(AND(IF(metadata!J153="",FALSE,TRUE),OR(exact(metadata!J153,"not applicable"),exact(metadata!J153,"missing: not collected"),exact(metadata!J153,"missing: not provided"),exact(metadata!J153,"missing: restricted access"))),AND(IF(metadata!J153="",FALSE,ISNUMBER(VALUE(metadata!J153))),metadata!J153&gt;0))</f>
        <v>0</v>
      </c>
      <c r="AE153">
        <f>AND(IF(metadata!K153="",FALSE,TRUE),exact(metadata!K153,"g"))</f>
        <v>0</v>
      </c>
    </row>
    <row r="154" spans="1:31">
      <c r="A154" s="5">
        <f>IF(B154=" "," ",HYPERLINK(CONCATENATE("#metadata!",ADDRESS(INDEX($Q$2:$Q$1001,MATCH(ROWS($O$2:O154),$O$2:$O$1001,0),0),1)),INDEX($T$2:$T$1001,MATCH(ROWS($O$2:O154),$O$2:$O$1001,0),0)))</f>
        <v>0</v>
      </c>
      <c r="B154" s="4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4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4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4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4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4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4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4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4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4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OR(AND(IF(metadata!C154="",FALSE,TRUE),OR(exact(metadata!C154,"not applicable"),exact(metadata!C154,"missing: not collected"),exact(metadata!C154,"missing: not provided"),exact(metadata!C154,"missing: restricted access"))),AND(IF(metadata!C154="",FALSE,ISNUMBER(VALUE(metadata!C154))),metadata!C154&gt;0))</f>
        <v>0</v>
      </c>
      <c r="X154">
        <f>AND(IF(metadata!D154="",FALSE,TRUE),exact(metadata!D154,"weeks"))</f>
        <v>0</v>
      </c>
      <c r="Y154">
        <f>AND(IF(metadata!E154="",FALSE,TRUE),exact(metadata!E154,"urban biome"))</f>
        <v>0</v>
      </c>
      <c r="Z154">
        <f>AND(IF(metadata!F154="",FALSE,TRUE),exact(metadata!F154,"animal-associated habitat"))</f>
        <v>0</v>
      </c>
      <c r="AA154">
        <f>AND(IF(metadata!G154="",FALSE,TRUE),exact(metadata!G154,"mouse"))</f>
        <v>0</v>
      </c>
      <c r="AB154">
        <f>AND(IF(metadata!H154="",FALSE,TRUE),exact(metadata!H154,"Mus musculus"))</f>
        <v>0</v>
      </c>
      <c r="AC154">
        <f>AND(IF(metadata!I154="",FALSE,TRUE),exact(metadata!I154,"10090"))</f>
        <v>0</v>
      </c>
      <c r="AD154">
        <f>OR(AND(IF(metadata!J154="",FALSE,TRUE),OR(exact(metadata!J154,"not applicable"),exact(metadata!J154,"missing: not collected"),exact(metadata!J154,"missing: not provided"),exact(metadata!J154,"missing: restricted access"))),AND(IF(metadata!J154="",FALSE,ISNUMBER(VALUE(metadata!J154))),metadata!J154&gt;0))</f>
        <v>0</v>
      </c>
      <c r="AE154">
        <f>AND(IF(metadata!K154="",FALSE,TRUE),exact(metadata!K154,"g"))</f>
        <v>0</v>
      </c>
    </row>
    <row r="155" spans="1:31">
      <c r="A155" s="5">
        <f>IF(B155=" "," ",HYPERLINK(CONCATENATE("#metadata!",ADDRESS(INDEX($Q$2:$Q$1001,MATCH(ROWS($O$2:O155),$O$2:$O$1001,0),0),1)),INDEX($T$2:$T$1001,MATCH(ROWS($O$2:O155),$O$2:$O$1001,0),0)))</f>
        <v>0</v>
      </c>
      <c r="B155" s="4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4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4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4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4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4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4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4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4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4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OR(AND(IF(metadata!C155="",FALSE,TRUE),OR(exact(metadata!C155,"not applicable"),exact(metadata!C155,"missing: not collected"),exact(metadata!C155,"missing: not provided"),exact(metadata!C155,"missing: restricted access"))),AND(IF(metadata!C155="",FALSE,ISNUMBER(VALUE(metadata!C155))),metadata!C155&gt;0))</f>
        <v>0</v>
      </c>
      <c r="X155">
        <f>AND(IF(metadata!D155="",FALSE,TRUE),exact(metadata!D155,"weeks"))</f>
        <v>0</v>
      </c>
      <c r="Y155">
        <f>AND(IF(metadata!E155="",FALSE,TRUE),exact(metadata!E155,"urban biome"))</f>
        <v>0</v>
      </c>
      <c r="Z155">
        <f>AND(IF(metadata!F155="",FALSE,TRUE),exact(metadata!F155,"animal-associated habitat"))</f>
        <v>0</v>
      </c>
      <c r="AA155">
        <f>AND(IF(metadata!G155="",FALSE,TRUE),exact(metadata!G155,"mouse"))</f>
        <v>0</v>
      </c>
      <c r="AB155">
        <f>AND(IF(metadata!H155="",FALSE,TRUE),exact(metadata!H155,"Mus musculus"))</f>
        <v>0</v>
      </c>
      <c r="AC155">
        <f>AND(IF(metadata!I155="",FALSE,TRUE),exact(metadata!I155,"10090"))</f>
        <v>0</v>
      </c>
      <c r="AD155">
        <f>OR(AND(IF(metadata!J155="",FALSE,TRUE),OR(exact(metadata!J155,"not applicable"),exact(metadata!J155,"missing: not collected"),exact(metadata!J155,"missing: not provided"),exact(metadata!J155,"missing: restricted access"))),AND(IF(metadata!J155="",FALSE,ISNUMBER(VALUE(metadata!J155))),metadata!J155&gt;0))</f>
        <v>0</v>
      </c>
      <c r="AE155">
        <f>AND(IF(metadata!K155="",FALSE,TRUE),exact(metadata!K155,"g"))</f>
        <v>0</v>
      </c>
    </row>
    <row r="156" spans="1:31">
      <c r="A156" s="5">
        <f>IF(B156=" "," ",HYPERLINK(CONCATENATE("#metadata!",ADDRESS(INDEX($Q$2:$Q$1001,MATCH(ROWS($O$2:O156),$O$2:$O$1001,0),0),1)),INDEX($T$2:$T$1001,MATCH(ROWS($O$2:O156),$O$2:$O$1001,0),0)))</f>
        <v>0</v>
      </c>
      <c r="B156" s="4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4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4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4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4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4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4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4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4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4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OR(AND(IF(metadata!C156="",FALSE,TRUE),OR(exact(metadata!C156,"not applicable"),exact(metadata!C156,"missing: not collected"),exact(metadata!C156,"missing: not provided"),exact(metadata!C156,"missing: restricted access"))),AND(IF(metadata!C156="",FALSE,ISNUMBER(VALUE(metadata!C156))),metadata!C156&gt;0))</f>
        <v>0</v>
      </c>
      <c r="X156">
        <f>AND(IF(metadata!D156="",FALSE,TRUE),exact(metadata!D156,"weeks"))</f>
        <v>0</v>
      </c>
      <c r="Y156">
        <f>AND(IF(metadata!E156="",FALSE,TRUE),exact(metadata!E156,"urban biome"))</f>
        <v>0</v>
      </c>
      <c r="Z156">
        <f>AND(IF(metadata!F156="",FALSE,TRUE),exact(metadata!F156,"animal-associated habitat"))</f>
        <v>0</v>
      </c>
      <c r="AA156">
        <f>AND(IF(metadata!G156="",FALSE,TRUE),exact(metadata!G156,"mouse"))</f>
        <v>0</v>
      </c>
      <c r="AB156">
        <f>AND(IF(metadata!H156="",FALSE,TRUE),exact(metadata!H156,"Mus musculus"))</f>
        <v>0</v>
      </c>
      <c r="AC156">
        <f>AND(IF(metadata!I156="",FALSE,TRUE),exact(metadata!I156,"10090"))</f>
        <v>0</v>
      </c>
      <c r="AD156">
        <f>OR(AND(IF(metadata!J156="",FALSE,TRUE),OR(exact(metadata!J156,"not applicable"),exact(metadata!J156,"missing: not collected"),exact(metadata!J156,"missing: not provided"),exact(metadata!J156,"missing: restricted access"))),AND(IF(metadata!J156="",FALSE,ISNUMBER(VALUE(metadata!J156))),metadata!J156&gt;0))</f>
        <v>0</v>
      </c>
      <c r="AE156">
        <f>AND(IF(metadata!K156="",FALSE,TRUE),exact(metadata!K156,"g"))</f>
        <v>0</v>
      </c>
    </row>
    <row r="157" spans="1:31">
      <c r="A157" s="5">
        <f>IF(B157=" "," ",HYPERLINK(CONCATENATE("#metadata!",ADDRESS(INDEX($Q$2:$Q$1001,MATCH(ROWS($O$2:O157),$O$2:$O$1001,0),0),1)),INDEX($T$2:$T$1001,MATCH(ROWS($O$2:O157),$O$2:$O$1001,0),0)))</f>
        <v>0</v>
      </c>
      <c r="B157" s="4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4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4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4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4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4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4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4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4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4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OR(AND(IF(metadata!C157="",FALSE,TRUE),OR(exact(metadata!C157,"not applicable"),exact(metadata!C157,"missing: not collected"),exact(metadata!C157,"missing: not provided"),exact(metadata!C157,"missing: restricted access"))),AND(IF(metadata!C157="",FALSE,ISNUMBER(VALUE(metadata!C157))),metadata!C157&gt;0))</f>
        <v>0</v>
      </c>
      <c r="X157">
        <f>AND(IF(metadata!D157="",FALSE,TRUE),exact(metadata!D157,"weeks"))</f>
        <v>0</v>
      </c>
      <c r="Y157">
        <f>AND(IF(metadata!E157="",FALSE,TRUE),exact(metadata!E157,"urban biome"))</f>
        <v>0</v>
      </c>
      <c r="Z157">
        <f>AND(IF(metadata!F157="",FALSE,TRUE),exact(metadata!F157,"animal-associated habitat"))</f>
        <v>0</v>
      </c>
      <c r="AA157">
        <f>AND(IF(metadata!G157="",FALSE,TRUE),exact(metadata!G157,"mouse"))</f>
        <v>0</v>
      </c>
      <c r="AB157">
        <f>AND(IF(metadata!H157="",FALSE,TRUE),exact(metadata!H157,"Mus musculus"))</f>
        <v>0</v>
      </c>
      <c r="AC157">
        <f>AND(IF(metadata!I157="",FALSE,TRUE),exact(metadata!I157,"10090"))</f>
        <v>0</v>
      </c>
      <c r="AD157">
        <f>OR(AND(IF(metadata!J157="",FALSE,TRUE),OR(exact(metadata!J157,"not applicable"),exact(metadata!J157,"missing: not collected"),exact(metadata!J157,"missing: not provided"),exact(metadata!J157,"missing: restricted access"))),AND(IF(metadata!J157="",FALSE,ISNUMBER(VALUE(metadata!J157))),metadata!J157&gt;0))</f>
        <v>0</v>
      </c>
      <c r="AE157">
        <f>AND(IF(metadata!K157="",FALSE,TRUE),exact(metadata!K157,"g"))</f>
        <v>0</v>
      </c>
    </row>
    <row r="158" spans="1:31">
      <c r="A158" s="5">
        <f>IF(B158=" "," ",HYPERLINK(CONCATENATE("#metadata!",ADDRESS(INDEX($Q$2:$Q$1001,MATCH(ROWS($O$2:O158),$O$2:$O$1001,0),0),1)),INDEX($T$2:$T$1001,MATCH(ROWS($O$2:O158),$O$2:$O$1001,0),0)))</f>
        <v>0</v>
      </c>
      <c r="B158" s="4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4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4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4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4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4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4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4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4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4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OR(AND(IF(metadata!C158="",FALSE,TRUE),OR(exact(metadata!C158,"not applicable"),exact(metadata!C158,"missing: not collected"),exact(metadata!C158,"missing: not provided"),exact(metadata!C158,"missing: restricted access"))),AND(IF(metadata!C158="",FALSE,ISNUMBER(VALUE(metadata!C158))),metadata!C158&gt;0))</f>
        <v>0</v>
      </c>
      <c r="X158">
        <f>AND(IF(metadata!D158="",FALSE,TRUE),exact(metadata!D158,"weeks"))</f>
        <v>0</v>
      </c>
      <c r="Y158">
        <f>AND(IF(metadata!E158="",FALSE,TRUE),exact(metadata!E158,"urban biome"))</f>
        <v>0</v>
      </c>
      <c r="Z158">
        <f>AND(IF(metadata!F158="",FALSE,TRUE),exact(metadata!F158,"animal-associated habitat"))</f>
        <v>0</v>
      </c>
      <c r="AA158">
        <f>AND(IF(metadata!G158="",FALSE,TRUE),exact(metadata!G158,"mouse"))</f>
        <v>0</v>
      </c>
      <c r="AB158">
        <f>AND(IF(metadata!H158="",FALSE,TRUE),exact(metadata!H158,"Mus musculus"))</f>
        <v>0</v>
      </c>
      <c r="AC158">
        <f>AND(IF(metadata!I158="",FALSE,TRUE),exact(metadata!I158,"10090"))</f>
        <v>0</v>
      </c>
      <c r="AD158">
        <f>OR(AND(IF(metadata!J158="",FALSE,TRUE),OR(exact(metadata!J158,"not applicable"),exact(metadata!J158,"missing: not collected"),exact(metadata!J158,"missing: not provided"),exact(metadata!J158,"missing: restricted access"))),AND(IF(metadata!J158="",FALSE,ISNUMBER(VALUE(metadata!J158))),metadata!J158&gt;0))</f>
        <v>0</v>
      </c>
      <c r="AE158">
        <f>AND(IF(metadata!K158="",FALSE,TRUE),exact(metadata!K158,"g"))</f>
        <v>0</v>
      </c>
    </row>
    <row r="159" spans="1:31">
      <c r="A159" s="5">
        <f>IF(B159=" "," ",HYPERLINK(CONCATENATE("#metadata!",ADDRESS(INDEX($Q$2:$Q$1001,MATCH(ROWS($O$2:O159),$O$2:$O$1001,0),0),1)),INDEX($T$2:$T$1001,MATCH(ROWS($O$2:O159),$O$2:$O$1001,0),0)))</f>
        <v>0</v>
      </c>
      <c r="B159" s="4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4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4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4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4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4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4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4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4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4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OR(AND(IF(metadata!C159="",FALSE,TRUE),OR(exact(metadata!C159,"not applicable"),exact(metadata!C159,"missing: not collected"),exact(metadata!C159,"missing: not provided"),exact(metadata!C159,"missing: restricted access"))),AND(IF(metadata!C159="",FALSE,ISNUMBER(VALUE(metadata!C159))),metadata!C159&gt;0))</f>
        <v>0</v>
      </c>
      <c r="X159">
        <f>AND(IF(metadata!D159="",FALSE,TRUE),exact(metadata!D159,"weeks"))</f>
        <v>0</v>
      </c>
      <c r="Y159">
        <f>AND(IF(metadata!E159="",FALSE,TRUE),exact(metadata!E159,"urban biome"))</f>
        <v>0</v>
      </c>
      <c r="Z159">
        <f>AND(IF(metadata!F159="",FALSE,TRUE),exact(metadata!F159,"animal-associated habitat"))</f>
        <v>0</v>
      </c>
      <c r="AA159">
        <f>AND(IF(metadata!G159="",FALSE,TRUE),exact(metadata!G159,"mouse"))</f>
        <v>0</v>
      </c>
      <c r="AB159">
        <f>AND(IF(metadata!H159="",FALSE,TRUE),exact(metadata!H159,"Mus musculus"))</f>
        <v>0</v>
      </c>
      <c r="AC159">
        <f>AND(IF(metadata!I159="",FALSE,TRUE),exact(metadata!I159,"10090"))</f>
        <v>0</v>
      </c>
      <c r="AD159">
        <f>OR(AND(IF(metadata!J159="",FALSE,TRUE),OR(exact(metadata!J159,"not applicable"),exact(metadata!J159,"missing: not collected"),exact(metadata!J159,"missing: not provided"),exact(metadata!J159,"missing: restricted access"))),AND(IF(metadata!J159="",FALSE,ISNUMBER(VALUE(metadata!J159))),metadata!J159&gt;0))</f>
        <v>0</v>
      </c>
      <c r="AE159">
        <f>AND(IF(metadata!K159="",FALSE,TRUE),exact(metadata!K159,"g"))</f>
        <v>0</v>
      </c>
    </row>
    <row r="160" spans="1:31">
      <c r="A160" s="5">
        <f>IF(B160=" "," ",HYPERLINK(CONCATENATE("#metadata!",ADDRESS(INDEX($Q$2:$Q$1001,MATCH(ROWS($O$2:O160),$O$2:$O$1001,0),0),1)),INDEX($T$2:$T$1001,MATCH(ROWS($O$2:O160),$O$2:$O$1001,0),0)))</f>
        <v>0</v>
      </c>
      <c r="B160" s="4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4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4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4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4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4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4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4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4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4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OR(AND(IF(metadata!C160="",FALSE,TRUE),OR(exact(metadata!C160,"not applicable"),exact(metadata!C160,"missing: not collected"),exact(metadata!C160,"missing: not provided"),exact(metadata!C160,"missing: restricted access"))),AND(IF(metadata!C160="",FALSE,ISNUMBER(VALUE(metadata!C160))),metadata!C160&gt;0))</f>
        <v>0</v>
      </c>
      <c r="X160">
        <f>AND(IF(metadata!D160="",FALSE,TRUE),exact(metadata!D160,"weeks"))</f>
        <v>0</v>
      </c>
      <c r="Y160">
        <f>AND(IF(metadata!E160="",FALSE,TRUE),exact(metadata!E160,"urban biome"))</f>
        <v>0</v>
      </c>
      <c r="Z160">
        <f>AND(IF(metadata!F160="",FALSE,TRUE),exact(metadata!F160,"animal-associated habitat"))</f>
        <v>0</v>
      </c>
      <c r="AA160">
        <f>AND(IF(metadata!G160="",FALSE,TRUE),exact(metadata!G160,"mouse"))</f>
        <v>0</v>
      </c>
      <c r="AB160">
        <f>AND(IF(metadata!H160="",FALSE,TRUE),exact(metadata!H160,"Mus musculus"))</f>
        <v>0</v>
      </c>
      <c r="AC160">
        <f>AND(IF(metadata!I160="",FALSE,TRUE),exact(metadata!I160,"10090"))</f>
        <v>0</v>
      </c>
      <c r="AD160">
        <f>OR(AND(IF(metadata!J160="",FALSE,TRUE),OR(exact(metadata!J160,"not applicable"),exact(metadata!J160,"missing: not collected"),exact(metadata!J160,"missing: not provided"),exact(metadata!J160,"missing: restricted access"))),AND(IF(metadata!J160="",FALSE,ISNUMBER(VALUE(metadata!J160))),metadata!J160&gt;0))</f>
        <v>0</v>
      </c>
      <c r="AE160">
        <f>AND(IF(metadata!K160="",FALSE,TRUE),exact(metadata!K160,"g"))</f>
        <v>0</v>
      </c>
    </row>
    <row r="161" spans="1:31">
      <c r="A161" s="5">
        <f>IF(B161=" "," ",HYPERLINK(CONCATENATE("#metadata!",ADDRESS(INDEX($Q$2:$Q$1001,MATCH(ROWS($O$2:O161),$O$2:$O$1001,0),0),1)),INDEX($T$2:$T$1001,MATCH(ROWS($O$2:O161),$O$2:$O$1001,0),0)))</f>
        <v>0</v>
      </c>
      <c r="B161" s="4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4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4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4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4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4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4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4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4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4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OR(AND(IF(metadata!C161="",FALSE,TRUE),OR(exact(metadata!C161,"not applicable"),exact(metadata!C161,"missing: not collected"),exact(metadata!C161,"missing: not provided"),exact(metadata!C161,"missing: restricted access"))),AND(IF(metadata!C161="",FALSE,ISNUMBER(VALUE(metadata!C161))),metadata!C161&gt;0))</f>
        <v>0</v>
      </c>
      <c r="X161">
        <f>AND(IF(metadata!D161="",FALSE,TRUE),exact(metadata!D161,"weeks"))</f>
        <v>0</v>
      </c>
      <c r="Y161">
        <f>AND(IF(metadata!E161="",FALSE,TRUE),exact(metadata!E161,"urban biome"))</f>
        <v>0</v>
      </c>
      <c r="Z161">
        <f>AND(IF(metadata!F161="",FALSE,TRUE),exact(metadata!F161,"animal-associated habitat"))</f>
        <v>0</v>
      </c>
      <c r="AA161">
        <f>AND(IF(metadata!G161="",FALSE,TRUE),exact(metadata!G161,"mouse"))</f>
        <v>0</v>
      </c>
      <c r="AB161">
        <f>AND(IF(metadata!H161="",FALSE,TRUE),exact(metadata!H161,"Mus musculus"))</f>
        <v>0</v>
      </c>
      <c r="AC161">
        <f>AND(IF(metadata!I161="",FALSE,TRUE),exact(metadata!I161,"10090"))</f>
        <v>0</v>
      </c>
      <c r="AD161">
        <f>OR(AND(IF(metadata!J161="",FALSE,TRUE),OR(exact(metadata!J161,"not applicable"),exact(metadata!J161,"missing: not collected"),exact(metadata!J161,"missing: not provided"),exact(metadata!J161,"missing: restricted access"))),AND(IF(metadata!J161="",FALSE,ISNUMBER(VALUE(metadata!J161))),metadata!J161&gt;0))</f>
        <v>0</v>
      </c>
      <c r="AE161">
        <f>AND(IF(metadata!K161="",FALSE,TRUE),exact(metadata!K161,"g"))</f>
        <v>0</v>
      </c>
    </row>
    <row r="162" spans="1:31">
      <c r="A162" s="5">
        <f>IF(B162=" "," ",HYPERLINK(CONCATENATE("#metadata!",ADDRESS(INDEX($Q$2:$Q$1001,MATCH(ROWS($O$2:O162),$O$2:$O$1001,0),0),1)),INDEX($T$2:$T$1001,MATCH(ROWS($O$2:O162),$O$2:$O$1001,0),0)))</f>
        <v>0</v>
      </c>
      <c r="B162" s="4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4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4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4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4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4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4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4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4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4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OR(AND(IF(metadata!C162="",FALSE,TRUE),OR(exact(metadata!C162,"not applicable"),exact(metadata!C162,"missing: not collected"),exact(metadata!C162,"missing: not provided"),exact(metadata!C162,"missing: restricted access"))),AND(IF(metadata!C162="",FALSE,ISNUMBER(VALUE(metadata!C162))),metadata!C162&gt;0))</f>
        <v>0</v>
      </c>
      <c r="X162">
        <f>AND(IF(metadata!D162="",FALSE,TRUE),exact(metadata!D162,"weeks"))</f>
        <v>0</v>
      </c>
      <c r="Y162">
        <f>AND(IF(metadata!E162="",FALSE,TRUE),exact(metadata!E162,"urban biome"))</f>
        <v>0</v>
      </c>
      <c r="Z162">
        <f>AND(IF(metadata!F162="",FALSE,TRUE),exact(metadata!F162,"animal-associated habitat"))</f>
        <v>0</v>
      </c>
      <c r="AA162">
        <f>AND(IF(metadata!G162="",FALSE,TRUE),exact(metadata!G162,"mouse"))</f>
        <v>0</v>
      </c>
      <c r="AB162">
        <f>AND(IF(metadata!H162="",FALSE,TRUE),exact(metadata!H162,"Mus musculus"))</f>
        <v>0</v>
      </c>
      <c r="AC162">
        <f>AND(IF(metadata!I162="",FALSE,TRUE),exact(metadata!I162,"10090"))</f>
        <v>0</v>
      </c>
      <c r="AD162">
        <f>OR(AND(IF(metadata!J162="",FALSE,TRUE),OR(exact(metadata!J162,"not applicable"),exact(metadata!J162,"missing: not collected"),exact(metadata!J162,"missing: not provided"),exact(metadata!J162,"missing: restricted access"))),AND(IF(metadata!J162="",FALSE,ISNUMBER(VALUE(metadata!J162))),metadata!J162&gt;0))</f>
        <v>0</v>
      </c>
      <c r="AE162">
        <f>AND(IF(metadata!K162="",FALSE,TRUE),exact(metadata!K162,"g"))</f>
        <v>0</v>
      </c>
    </row>
    <row r="163" spans="1:31">
      <c r="A163" s="5">
        <f>IF(B163=" "," ",HYPERLINK(CONCATENATE("#metadata!",ADDRESS(INDEX($Q$2:$Q$1001,MATCH(ROWS($O$2:O163),$O$2:$O$1001,0),0),1)),INDEX($T$2:$T$1001,MATCH(ROWS($O$2:O163),$O$2:$O$1001,0),0)))</f>
        <v>0</v>
      </c>
      <c r="B163" s="4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4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4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4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4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4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4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4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4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4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OR(AND(IF(metadata!C163="",FALSE,TRUE),OR(exact(metadata!C163,"not applicable"),exact(metadata!C163,"missing: not collected"),exact(metadata!C163,"missing: not provided"),exact(metadata!C163,"missing: restricted access"))),AND(IF(metadata!C163="",FALSE,ISNUMBER(VALUE(metadata!C163))),metadata!C163&gt;0))</f>
        <v>0</v>
      </c>
      <c r="X163">
        <f>AND(IF(metadata!D163="",FALSE,TRUE),exact(metadata!D163,"weeks"))</f>
        <v>0</v>
      </c>
      <c r="Y163">
        <f>AND(IF(metadata!E163="",FALSE,TRUE),exact(metadata!E163,"urban biome"))</f>
        <v>0</v>
      </c>
      <c r="Z163">
        <f>AND(IF(metadata!F163="",FALSE,TRUE),exact(metadata!F163,"animal-associated habitat"))</f>
        <v>0</v>
      </c>
      <c r="AA163">
        <f>AND(IF(metadata!G163="",FALSE,TRUE),exact(metadata!G163,"mouse"))</f>
        <v>0</v>
      </c>
      <c r="AB163">
        <f>AND(IF(metadata!H163="",FALSE,TRUE),exact(metadata!H163,"Mus musculus"))</f>
        <v>0</v>
      </c>
      <c r="AC163">
        <f>AND(IF(metadata!I163="",FALSE,TRUE),exact(metadata!I163,"10090"))</f>
        <v>0</v>
      </c>
      <c r="AD163">
        <f>OR(AND(IF(metadata!J163="",FALSE,TRUE),OR(exact(metadata!J163,"not applicable"),exact(metadata!J163,"missing: not collected"),exact(metadata!J163,"missing: not provided"),exact(metadata!J163,"missing: restricted access"))),AND(IF(metadata!J163="",FALSE,ISNUMBER(VALUE(metadata!J163))),metadata!J163&gt;0))</f>
        <v>0</v>
      </c>
      <c r="AE163">
        <f>AND(IF(metadata!K163="",FALSE,TRUE),exact(metadata!K163,"g"))</f>
        <v>0</v>
      </c>
    </row>
    <row r="164" spans="1:31">
      <c r="A164" s="5">
        <f>IF(B164=" "," ",HYPERLINK(CONCATENATE("#metadata!",ADDRESS(INDEX($Q$2:$Q$1001,MATCH(ROWS($O$2:O164),$O$2:$O$1001,0),0),1)),INDEX($T$2:$T$1001,MATCH(ROWS($O$2:O164),$O$2:$O$1001,0),0)))</f>
        <v>0</v>
      </c>
      <c r="B164" s="4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4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4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4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4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4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4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4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4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4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OR(AND(IF(metadata!C164="",FALSE,TRUE),OR(exact(metadata!C164,"not applicable"),exact(metadata!C164,"missing: not collected"),exact(metadata!C164,"missing: not provided"),exact(metadata!C164,"missing: restricted access"))),AND(IF(metadata!C164="",FALSE,ISNUMBER(VALUE(metadata!C164))),metadata!C164&gt;0))</f>
        <v>0</v>
      </c>
      <c r="X164">
        <f>AND(IF(metadata!D164="",FALSE,TRUE),exact(metadata!D164,"weeks"))</f>
        <v>0</v>
      </c>
      <c r="Y164">
        <f>AND(IF(metadata!E164="",FALSE,TRUE),exact(metadata!E164,"urban biome"))</f>
        <v>0</v>
      </c>
      <c r="Z164">
        <f>AND(IF(metadata!F164="",FALSE,TRUE),exact(metadata!F164,"animal-associated habitat"))</f>
        <v>0</v>
      </c>
      <c r="AA164">
        <f>AND(IF(metadata!G164="",FALSE,TRUE),exact(metadata!G164,"mouse"))</f>
        <v>0</v>
      </c>
      <c r="AB164">
        <f>AND(IF(metadata!H164="",FALSE,TRUE),exact(metadata!H164,"Mus musculus"))</f>
        <v>0</v>
      </c>
      <c r="AC164">
        <f>AND(IF(metadata!I164="",FALSE,TRUE),exact(metadata!I164,"10090"))</f>
        <v>0</v>
      </c>
      <c r="AD164">
        <f>OR(AND(IF(metadata!J164="",FALSE,TRUE),OR(exact(metadata!J164,"not applicable"),exact(metadata!J164,"missing: not collected"),exact(metadata!J164,"missing: not provided"),exact(metadata!J164,"missing: restricted access"))),AND(IF(metadata!J164="",FALSE,ISNUMBER(VALUE(metadata!J164))),metadata!J164&gt;0))</f>
        <v>0</v>
      </c>
      <c r="AE164">
        <f>AND(IF(metadata!K164="",FALSE,TRUE),exact(metadata!K164,"g"))</f>
        <v>0</v>
      </c>
    </row>
    <row r="165" spans="1:31">
      <c r="A165" s="5">
        <f>IF(B165=" "," ",HYPERLINK(CONCATENATE("#metadata!",ADDRESS(INDEX($Q$2:$Q$1001,MATCH(ROWS($O$2:O165),$O$2:$O$1001,0),0),1)),INDEX($T$2:$T$1001,MATCH(ROWS($O$2:O165),$O$2:$O$1001,0),0)))</f>
        <v>0</v>
      </c>
      <c r="B165" s="4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4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4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4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4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4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4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4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4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4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OR(AND(IF(metadata!C165="",FALSE,TRUE),OR(exact(metadata!C165,"not applicable"),exact(metadata!C165,"missing: not collected"),exact(metadata!C165,"missing: not provided"),exact(metadata!C165,"missing: restricted access"))),AND(IF(metadata!C165="",FALSE,ISNUMBER(VALUE(metadata!C165))),metadata!C165&gt;0))</f>
        <v>0</v>
      </c>
      <c r="X165">
        <f>AND(IF(metadata!D165="",FALSE,TRUE),exact(metadata!D165,"weeks"))</f>
        <v>0</v>
      </c>
      <c r="Y165">
        <f>AND(IF(metadata!E165="",FALSE,TRUE),exact(metadata!E165,"urban biome"))</f>
        <v>0</v>
      </c>
      <c r="Z165">
        <f>AND(IF(metadata!F165="",FALSE,TRUE),exact(metadata!F165,"animal-associated habitat"))</f>
        <v>0</v>
      </c>
      <c r="AA165">
        <f>AND(IF(metadata!G165="",FALSE,TRUE),exact(metadata!G165,"mouse"))</f>
        <v>0</v>
      </c>
      <c r="AB165">
        <f>AND(IF(metadata!H165="",FALSE,TRUE),exact(metadata!H165,"Mus musculus"))</f>
        <v>0</v>
      </c>
      <c r="AC165">
        <f>AND(IF(metadata!I165="",FALSE,TRUE),exact(metadata!I165,"10090"))</f>
        <v>0</v>
      </c>
      <c r="AD165">
        <f>OR(AND(IF(metadata!J165="",FALSE,TRUE),OR(exact(metadata!J165,"not applicable"),exact(metadata!J165,"missing: not collected"),exact(metadata!J165,"missing: not provided"),exact(metadata!J165,"missing: restricted access"))),AND(IF(metadata!J165="",FALSE,ISNUMBER(VALUE(metadata!J165))),metadata!J165&gt;0))</f>
        <v>0</v>
      </c>
      <c r="AE165">
        <f>AND(IF(metadata!K165="",FALSE,TRUE),exact(metadata!K165,"g"))</f>
        <v>0</v>
      </c>
    </row>
    <row r="166" spans="1:31">
      <c r="A166" s="5">
        <f>IF(B166=" "," ",HYPERLINK(CONCATENATE("#metadata!",ADDRESS(INDEX($Q$2:$Q$1001,MATCH(ROWS($O$2:O166),$O$2:$O$1001,0),0),1)),INDEX($T$2:$T$1001,MATCH(ROWS($O$2:O166),$O$2:$O$1001,0),0)))</f>
        <v>0</v>
      </c>
      <c r="B166" s="4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4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4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4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4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4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4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4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4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4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OR(AND(IF(metadata!C166="",FALSE,TRUE),OR(exact(metadata!C166,"not applicable"),exact(metadata!C166,"missing: not collected"),exact(metadata!C166,"missing: not provided"),exact(metadata!C166,"missing: restricted access"))),AND(IF(metadata!C166="",FALSE,ISNUMBER(VALUE(metadata!C166))),metadata!C166&gt;0))</f>
        <v>0</v>
      </c>
      <c r="X166">
        <f>AND(IF(metadata!D166="",FALSE,TRUE),exact(metadata!D166,"weeks"))</f>
        <v>0</v>
      </c>
      <c r="Y166">
        <f>AND(IF(metadata!E166="",FALSE,TRUE),exact(metadata!E166,"urban biome"))</f>
        <v>0</v>
      </c>
      <c r="Z166">
        <f>AND(IF(metadata!F166="",FALSE,TRUE),exact(metadata!F166,"animal-associated habitat"))</f>
        <v>0</v>
      </c>
      <c r="AA166">
        <f>AND(IF(metadata!G166="",FALSE,TRUE),exact(metadata!G166,"mouse"))</f>
        <v>0</v>
      </c>
      <c r="AB166">
        <f>AND(IF(metadata!H166="",FALSE,TRUE),exact(metadata!H166,"Mus musculus"))</f>
        <v>0</v>
      </c>
      <c r="AC166">
        <f>AND(IF(metadata!I166="",FALSE,TRUE),exact(metadata!I166,"10090"))</f>
        <v>0</v>
      </c>
      <c r="AD166">
        <f>OR(AND(IF(metadata!J166="",FALSE,TRUE),OR(exact(metadata!J166,"not applicable"),exact(metadata!J166,"missing: not collected"),exact(metadata!J166,"missing: not provided"),exact(metadata!J166,"missing: restricted access"))),AND(IF(metadata!J166="",FALSE,ISNUMBER(VALUE(metadata!J166))),metadata!J166&gt;0))</f>
        <v>0</v>
      </c>
      <c r="AE166">
        <f>AND(IF(metadata!K166="",FALSE,TRUE),exact(metadata!K166,"g"))</f>
        <v>0</v>
      </c>
    </row>
    <row r="167" spans="1:31">
      <c r="A167" s="5">
        <f>IF(B167=" "," ",HYPERLINK(CONCATENATE("#metadata!",ADDRESS(INDEX($Q$2:$Q$1001,MATCH(ROWS($O$2:O167),$O$2:$O$1001,0),0),1)),INDEX($T$2:$T$1001,MATCH(ROWS($O$2:O167),$O$2:$O$1001,0),0)))</f>
        <v>0</v>
      </c>
      <c r="B167" s="4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4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4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4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4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4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4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4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4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4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OR(AND(IF(metadata!C167="",FALSE,TRUE),OR(exact(metadata!C167,"not applicable"),exact(metadata!C167,"missing: not collected"),exact(metadata!C167,"missing: not provided"),exact(metadata!C167,"missing: restricted access"))),AND(IF(metadata!C167="",FALSE,ISNUMBER(VALUE(metadata!C167))),metadata!C167&gt;0))</f>
        <v>0</v>
      </c>
      <c r="X167">
        <f>AND(IF(metadata!D167="",FALSE,TRUE),exact(metadata!D167,"weeks"))</f>
        <v>0</v>
      </c>
      <c r="Y167">
        <f>AND(IF(metadata!E167="",FALSE,TRUE),exact(metadata!E167,"urban biome"))</f>
        <v>0</v>
      </c>
      <c r="Z167">
        <f>AND(IF(metadata!F167="",FALSE,TRUE),exact(metadata!F167,"animal-associated habitat"))</f>
        <v>0</v>
      </c>
      <c r="AA167">
        <f>AND(IF(metadata!G167="",FALSE,TRUE),exact(metadata!G167,"mouse"))</f>
        <v>0</v>
      </c>
      <c r="AB167">
        <f>AND(IF(metadata!H167="",FALSE,TRUE),exact(metadata!H167,"Mus musculus"))</f>
        <v>0</v>
      </c>
      <c r="AC167">
        <f>AND(IF(metadata!I167="",FALSE,TRUE),exact(metadata!I167,"10090"))</f>
        <v>0</v>
      </c>
      <c r="AD167">
        <f>OR(AND(IF(metadata!J167="",FALSE,TRUE),OR(exact(metadata!J167,"not applicable"),exact(metadata!J167,"missing: not collected"),exact(metadata!J167,"missing: not provided"),exact(metadata!J167,"missing: restricted access"))),AND(IF(metadata!J167="",FALSE,ISNUMBER(VALUE(metadata!J167))),metadata!J167&gt;0))</f>
        <v>0</v>
      </c>
      <c r="AE167">
        <f>AND(IF(metadata!K167="",FALSE,TRUE),exact(metadata!K167,"g"))</f>
        <v>0</v>
      </c>
    </row>
    <row r="168" spans="1:31">
      <c r="A168" s="5">
        <f>IF(B168=" "," ",HYPERLINK(CONCATENATE("#metadata!",ADDRESS(INDEX($Q$2:$Q$1001,MATCH(ROWS($O$2:O168),$O$2:$O$1001,0),0),1)),INDEX($T$2:$T$1001,MATCH(ROWS($O$2:O168),$O$2:$O$1001,0),0)))</f>
        <v>0</v>
      </c>
      <c r="B168" s="4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4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4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4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4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4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4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4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4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4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OR(AND(IF(metadata!C168="",FALSE,TRUE),OR(exact(metadata!C168,"not applicable"),exact(metadata!C168,"missing: not collected"),exact(metadata!C168,"missing: not provided"),exact(metadata!C168,"missing: restricted access"))),AND(IF(metadata!C168="",FALSE,ISNUMBER(VALUE(metadata!C168))),metadata!C168&gt;0))</f>
        <v>0</v>
      </c>
      <c r="X168">
        <f>AND(IF(metadata!D168="",FALSE,TRUE),exact(metadata!D168,"weeks"))</f>
        <v>0</v>
      </c>
      <c r="Y168">
        <f>AND(IF(metadata!E168="",FALSE,TRUE),exact(metadata!E168,"urban biome"))</f>
        <v>0</v>
      </c>
      <c r="Z168">
        <f>AND(IF(metadata!F168="",FALSE,TRUE),exact(metadata!F168,"animal-associated habitat"))</f>
        <v>0</v>
      </c>
      <c r="AA168">
        <f>AND(IF(metadata!G168="",FALSE,TRUE),exact(metadata!G168,"mouse"))</f>
        <v>0</v>
      </c>
      <c r="AB168">
        <f>AND(IF(metadata!H168="",FALSE,TRUE),exact(metadata!H168,"Mus musculus"))</f>
        <v>0</v>
      </c>
      <c r="AC168">
        <f>AND(IF(metadata!I168="",FALSE,TRUE),exact(metadata!I168,"10090"))</f>
        <v>0</v>
      </c>
      <c r="AD168">
        <f>OR(AND(IF(metadata!J168="",FALSE,TRUE),OR(exact(metadata!J168,"not applicable"),exact(metadata!J168,"missing: not collected"),exact(metadata!J168,"missing: not provided"),exact(metadata!J168,"missing: restricted access"))),AND(IF(metadata!J168="",FALSE,ISNUMBER(VALUE(metadata!J168))),metadata!J168&gt;0))</f>
        <v>0</v>
      </c>
      <c r="AE168">
        <f>AND(IF(metadata!K168="",FALSE,TRUE),exact(metadata!K168,"g"))</f>
        <v>0</v>
      </c>
    </row>
    <row r="169" spans="1:31">
      <c r="A169" s="5">
        <f>IF(B169=" "," ",HYPERLINK(CONCATENATE("#metadata!",ADDRESS(INDEX($Q$2:$Q$1001,MATCH(ROWS($O$2:O169),$O$2:$O$1001,0),0),1)),INDEX($T$2:$T$1001,MATCH(ROWS($O$2:O169),$O$2:$O$1001,0),0)))</f>
        <v>0</v>
      </c>
      <c r="B169" s="4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4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4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4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4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4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4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4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4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4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OR(AND(IF(metadata!C169="",FALSE,TRUE),OR(exact(metadata!C169,"not applicable"),exact(metadata!C169,"missing: not collected"),exact(metadata!C169,"missing: not provided"),exact(metadata!C169,"missing: restricted access"))),AND(IF(metadata!C169="",FALSE,ISNUMBER(VALUE(metadata!C169))),metadata!C169&gt;0))</f>
        <v>0</v>
      </c>
      <c r="X169">
        <f>AND(IF(metadata!D169="",FALSE,TRUE),exact(metadata!D169,"weeks"))</f>
        <v>0</v>
      </c>
      <c r="Y169">
        <f>AND(IF(metadata!E169="",FALSE,TRUE),exact(metadata!E169,"urban biome"))</f>
        <v>0</v>
      </c>
      <c r="Z169">
        <f>AND(IF(metadata!F169="",FALSE,TRUE),exact(metadata!F169,"animal-associated habitat"))</f>
        <v>0</v>
      </c>
      <c r="AA169">
        <f>AND(IF(metadata!G169="",FALSE,TRUE),exact(metadata!G169,"mouse"))</f>
        <v>0</v>
      </c>
      <c r="AB169">
        <f>AND(IF(metadata!H169="",FALSE,TRUE),exact(metadata!H169,"Mus musculus"))</f>
        <v>0</v>
      </c>
      <c r="AC169">
        <f>AND(IF(metadata!I169="",FALSE,TRUE),exact(metadata!I169,"10090"))</f>
        <v>0</v>
      </c>
      <c r="AD169">
        <f>OR(AND(IF(metadata!J169="",FALSE,TRUE),OR(exact(metadata!J169,"not applicable"),exact(metadata!J169,"missing: not collected"),exact(metadata!J169,"missing: not provided"),exact(metadata!J169,"missing: restricted access"))),AND(IF(metadata!J169="",FALSE,ISNUMBER(VALUE(metadata!J169))),metadata!J169&gt;0))</f>
        <v>0</v>
      </c>
      <c r="AE169">
        <f>AND(IF(metadata!K169="",FALSE,TRUE),exact(metadata!K169,"g"))</f>
        <v>0</v>
      </c>
    </row>
    <row r="170" spans="1:31">
      <c r="A170" s="5">
        <f>IF(B170=" "," ",HYPERLINK(CONCATENATE("#metadata!",ADDRESS(INDEX($Q$2:$Q$1001,MATCH(ROWS($O$2:O170),$O$2:$O$1001,0),0),1)),INDEX($T$2:$T$1001,MATCH(ROWS($O$2:O170),$O$2:$O$1001,0),0)))</f>
        <v>0</v>
      </c>
      <c r="B170" s="4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4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4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4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4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4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4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4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4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4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OR(AND(IF(metadata!C170="",FALSE,TRUE),OR(exact(metadata!C170,"not applicable"),exact(metadata!C170,"missing: not collected"),exact(metadata!C170,"missing: not provided"),exact(metadata!C170,"missing: restricted access"))),AND(IF(metadata!C170="",FALSE,ISNUMBER(VALUE(metadata!C170))),metadata!C170&gt;0))</f>
        <v>0</v>
      </c>
      <c r="X170">
        <f>AND(IF(metadata!D170="",FALSE,TRUE),exact(metadata!D170,"weeks"))</f>
        <v>0</v>
      </c>
      <c r="Y170">
        <f>AND(IF(metadata!E170="",FALSE,TRUE),exact(metadata!E170,"urban biome"))</f>
        <v>0</v>
      </c>
      <c r="Z170">
        <f>AND(IF(metadata!F170="",FALSE,TRUE),exact(metadata!F170,"animal-associated habitat"))</f>
        <v>0</v>
      </c>
      <c r="AA170">
        <f>AND(IF(metadata!G170="",FALSE,TRUE),exact(metadata!G170,"mouse"))</f>
        <v>0</v>
      </c>
      <c r="AB170">
        <f>AND(IF(metadata!H170="",FALSE,TRUE),exact(metadata!H170,"Mus musculus"))</f>
        <v>0</v>
      </c>
      <c r="AC170">
        <f>AND(IF(metadata!I170="",FALSE,TRUE),exact(metadata!I170,"10090"))</f>
        <v>0</v>
      </c>
      <c r="AD170">
        <f>OR(AND(IF(metadata!J170="",FALSE,TRUE),OR(exact(metadata!J170,"not applicable"),exact(metadata!J170,"missing: not collected"),exact(metadata!J170,"missing: not provided"),exact(metadata!J170,"missing: restricted access"))),AND(IF(metadata!J170="",FALSE,ISNUMBER(VALUE(metadata!J170))),metadata!J170&gt;0))</f>
        <v>0</v>
      </c>
      <c r="AE170">
        <f>AND(IF(metadata!K170="",FALSE,TRUE),exact(metadata!K170,"g"))</f>
        <v>0</v>
      </c>
    </row>
    <row r="171" spans="1:31">
      <c r="A171" s="5">
        <f>IF(B171=" "," ",HYPERLINK(CONCATENATE("#metadata!",ADDRESS(INDEX($Q$2:$Q$1001,MATCH(ROWS($O$2:O171),$O$2:$O$1001,0),0),1)),INDEX($T$2:$T$1001,MATCH(ROWS($O$2:O171),$O$2:$O$1001,0),0)))</f>
        <v>0</v>
      </c>
      <c r="B171" s="4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4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4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4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4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4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4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4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4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4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OR(AND(IF(metadata!C171="",FALSE,TRUE),OR(exact(metadata!C171,"not applicable"),exact(metadata!C171,"missing: not collected"),exact(metadata!C171,"missing: not provided"),exact(metadata!C171,"missing: restricted access"))),AND(IF(metadata!C171="",FALSE,ISNUMBER(VALUE(metadata!C171))),metadata!C171&gt;0))</f>
        <v>0</v>
      </c>
      <c r="X171">
        <f>AND(IF(metadata!D171="",FALSE,TRUE),exact(metadata!D171,"weeks"))</f>
        <v>0</v>
      </c>
      <c r="Y171">
        <f>AND(IF(metadata!E171="",FALSE,TRUE),exact(metadata!E171,"urban biome"))</f>
        <v>0</v>
      </c>
      <c r="Z171">
        <f>AND(IF(metadata!F171="",FALSE,TRUE),exact(metadata!F171,"animal-associated habitat"))</f>
        <v>0</v>
      </c>
      <c r="AA171">
        <f>AND(IF(metadata!G171="",FALSE,TRUE),exact(metadata!G171,"mouse"))</f>
        <v>0</v>
      </c>
      <c r="AB171">
        <f>AND(IF(metadata!H171="",FALSE,TRUE),exact(metadata!H171,"Mus musculus"))</f>
        <v>0</v>
      </c>
      <c r="AC171">
        <f>AND(IF(metadata!I171="",FALSE,TRUE),exact(metadata!I171,"10090"))</f>
        <v>0</v>
      </c>
      <c r="AD171">
        <f>OR(AND(IF(metadata!J171="",FALSE,TRUE),OR(exact(metadata!J171,"not applicable"),exact(metadata!J171,"missing: not collected"),exact(metadata!J171,"missing: not provided"),exact(metadata!J171,"missing: restricted access"))),AND(IF(metadata!J171="",FALSE,ISNUMBER(VALUE(metadata!J171))),metadata!J171&gt;0))</f>
        <v>0</v>
      </c>
      <c r="AE171">
        <f>AND(IF(metadata!K171="",FALSE,TRUE),exact(metadata!K171,"g"))</f>
        <v>0</v>
      </c>
    </row>
    <row r="172" spans="1:31">
      <c r="A172" s="5">
        <f>IF(B172=" "," ",HYPERLINK(CONCATENATE("#metadata!",ADDRESS(INDEX($Q$2:$Q$1001,MATCH(ROWS($O$2:O172),$O$2:$O$1001,0),0),1)),INDEX($T$2:$T$1001,MATCH(ROWS($O$2:O172),$O$2:$O$1001,0),0)))</f>
        <v>0</v>
      </c>
      <c r="B172" s="4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4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4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4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4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4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4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4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4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4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OR(AND(IF(metadata!C172="",FALSE,TRUE),OR(exact(metadata!C172,"not applicable"),exact(metadata!C172,"missing: not collected"),exact(metadata!C172,"missing: not provided"),exact(metadata!C172,"missing: restricted access"))),AND(IF(metadata!C172="",FALSE,ISNUMBER(VALUE(metadata!C172))),metadata!C172&gt;0))</f>
        <v>0</v>
      </c>
      <c r="X172">
        <f>AND(IF(metadata!D172="",FALSE,TRUE),exact(metadata!D172,"weeks"))</f>
        <v>0</v>
      </c>
      <c r="Y172">
        <f>AND(IF(metadata!E172="",FALSE,TRUE),exact(metadata!E172,"urban biome"))</f>
        <v>0</v>
      </c>
      <c r="Z172">
        <f>AND(IF(metadata!F172="",FALSE,TRUE),exact(metadata!F172,"animal-associated habitat"))</f>
        <v>0</v>
      </c>
      <c r="AA172">
        <f>AND(IF(metadata!G172="",FALSE,TRUE),exact(metadata!G172,"mouse"))</f>
        <v>0</v>
      </c>
      <c r="AB172">
        <f>AND(IF(metadata!H172="",FALSE,TRUE),exact(metadata!H172,"Mus musculus"))</f>
        <v>0</v>
      </c>
      <c r="AC172">
        <f>AND(IF(metadata!I172="",FALSE,TRUE),exact(metadata!I172,"10090"))</f>
        <v>0</v>
      </c>
      <c r="AD172">
        <f>OR(AND(IF(metadata!J172="",FALSE,TRUE),OR(exact(metadata!J172,"not applicable"),exact(metadata!J172,"missing: not collected"),exact(metadata!J172,"missing: not provided"),exact(metadata!J172,"missing: restricted access"))),AND(IF(metadata!J172="",FALSE,ISNUMBER(VALUE(metadata!J172))),metadata!J172&gt;0))</f>
        <v>0</v>
      </c>
      <c r="AE172">
        <f>AND(IF(metadata!K172="",FALSE,TRUE),exact(metadata!K172,"g"))</f>
        <v>0</v>
      </c>
    </row>
    <row r="173" spans="1:31">
      <c r="A173" s="5">
        <f>IF(B173=" "," ",HYPERLINK(CONCATENATE("#metadata!",ADDRESS(INDEX($Q$2:$Q$1001,MATCH(ROWS($O$2:O173),$O$2:$O$1001,0),0),1)),INDEX($T$2:$T$1001,MATCH(ROWS($O$2:O173),$O$2:$O$1001,0),0)))</f>
        <v>0</v>
      </c>
      <c r="B173" s="4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4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4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4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4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4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4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4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4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4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OR(AND(IF(metadata!C173="",FALSE,TRUE),OR(exact(metadata!C173,"not applicable"),exact(metadata!C173,"missing: not collected"),exact(metadata!C173,"missing: not provided"),exact(metadata!C173,"missing: restricted access"))),AND(IF(metadata!C173="",FALSE,ISNUMBER(VALUE(metadata!C173))),metadata!C173&gt;0))</f>
        <v>0</v>
      </c>
      <c r="X173">
        <f>AND(IF(metadata!D173="",FALSE,TRUE),exact(metadata!D173,"weeks"))</f>
        <v>0</v>
      </c>
      <c r="Y173">
        <f>AND(IF(metadata!E173="",FALSE,TRUE),exact(metadata!E173,"urban biome"))</f>
        <v>0</v>
      </c>
      <c r="Z173">
        <f>AND(IF(metadata!F173="",FALSE,TRUE),exact(metadata!F173,"animal-associated habitat"))</f>
        <v>0</v>
      </c>
      <c r="AA173">
        <f>AND(IF(metadata!G173="",FALSE,TRUE),exact(metadata!G173,"mouse"))</f>
        <v>0</v>
      </c>
      <c r="AB173">
        <f>AND(IF(metadata!H173="",FALSE,TRUE),exact(metadata!H173,"Mus musculus"))</f>
        <v>0</v>
      </c>
      <c r="AC173">
        <f>AND(IF(metadata!I173="",FALSE,TRUE),exact(metadata!I173,"10090"))</f>
        <v>0</v>
      </c>
      <c r="AD173">
        <f>OR(AND(IF(metadata!J173="",FALSE,TRUE),OR(exact(metadata!J173,"not applicable"),exact(metadata!J173,"missing: not collected"),exact(metadata!J173,"missing: not provided"),exact(metadata!J173,"missing: restricted access"))),AND(IF(metadata!J173="",FALSE,ISNUMBER(VALUE(metadata!J173))),metadata!J173&gt;0))</f>
        <v>0</v>
      </c>
      <c r="AE173">
        <f>AND(IF(metadata!K173="",FALSE,TRUE),exact(metadata!K173,"g"))</f>
        <v>0</v>
      </c>
    </row>
    <row r="174" spans="1:31">
      <c r="A174" s="5">
        <f>IF(B174=" "," ",HYPERLINK(CONCATENATE("#metadata!",ADDRESS(INDEX($Q$2:$Q$1001,MATCH(ROWS($O$2:O174),$O$2:$O$1001,0),0),1)),INDEX($T$2:$T$1001,MATCH(ROWS($O$2:O174),$O$2:$O$1001,0),0)))</f>
        <v>0</v>
      </c>
      <c r="B174" s="4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4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4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4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4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4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4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4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4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4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OR(AND(IF(metadata!C174="",FALSE,TRUE),OR(exact(metadata!C174,"not applicable"),exact(metadata!C174,"missing: not collected"),exact(metadata!C174,"missing: not provided"),exact(metadata!C174,"missing: restricted access"))),AND(IF(metadata!C174="",FALSE,ISNUMBER(VALUE(metadata!C174))),metadata!C174&gt;0))</f>
        <v>0</v>
      </c>
      <c r="X174">
        <f>AND(IF(metadata!D174="",FALSE,TRUE),exact(metadata!D174,"weeks"))</f>
        <v>0</v>
      </c>
      <c r="Y174">
        <f>AND(IF(metadata!E174="",FALSE,TRUE),exact(metadata!E174,"urban biome"))</f>
        <v>0</v>
      </c>
      <c r="Z174">
        <f>AND(IF(metadata!F174="",FALSE,TRUE),exact(metadata!F174,"animal-associated habitat"))</f>
        <v>0</v>
      </c>
      <c r="AA174">
        <f>AND(IF(metadata!G174="",FALSE,TRUE),exact(metadata!G174,"mouse"))</f>
        <v>0</v>
      </c>
      <c r="AB174">
        <f>AND(IF(metadata!H174="",FALSE,TRUE),exact(metadata!H174,"Mus musculus"))</f>
        <v>0</v>
      </c>
      <c r="AC174">
        <f>AND(IF(metadata!I174="",FALSE,TRUE),exact(metadata!I174,"10090"))</f>
        <v>0</v>
      </c>
      <c r="AD174">
        <f>OR(AND(IF(metadata!J174="",FALSE,TRUE),OR(exact(metadata!J174,"not applicable"),exact(metadata!J174,"missing: not collected"),exact(metadata!J174,"missing: not provided"),exact(metadata!J174,"missing: restricted access"))),AND(IF(metadata!J174="",FALSE,ISNUMBER(VALUE(metadata!J174))),metadata!J174&gt;0))</f>
        <v>0</v>
      </c>
      <c r="AE174">
        <f>AND(IF(metadata!K174="",FALSE,TRUE),exact(metadata!K174,"g"))</f>
        <v>0</v>
      </c>
    </row>
    <row r="175" spans="1:31">
      <c r="A175" s="5">
        <f>IF(B175=" "," ",HYPERLINK(CONCATENATE("#metadata!",ADDRESS(INDEX($Q$2:$Q$1001,MATCH(ROWS($O$2:O175),$O$2:$O$1001,0),0),1)),INDEX($T$2:$T$1001,MATCH(ROWS($O$2:O175),$O$2:$O$1001,0),0)))</f>
        <v>0</v>
      </c>
      <c r="B175" s="4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4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4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4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4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4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4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4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4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4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OR(AND(IF(metadata!C175="",FALSE,TRUE),OR(exact(metadata!C175,"not applicable"),exact(metadata!C175,"missing: not collected"),exact(metadata!C175,"missing: not provided"),exact(metadata!C175,"missing: restricted access"))),AND(IF(metadata!C175="",FALSE,ISNUMBER(VALUE(metadata!C175))),metadata!C175&gt;0))</f>
        <v>0</v>
      </c>
      <c r="X175">
        <f>AND(IF(metadata!D175="",FALSE,TRUE),exact(metadata!D175,"weeks"))</f>
        <v>0</v>
      </c>
      <c r="Y175">
        <f>AND(IF(metadata!E175="",FALSE,TRUE),exact(metadata!E175,"urban biome"))</f>
        <v>0</v>
      </c>
      <c r="Z175">
        <f>AND(IF(metadata!F175="",FALSE,TRUE),exact(metadata!F175,"animal-associated habitat"))</f>
        <v>0</v>
      </c>
      <c r="AA175">
        <f>AND(IF(metadata!G175="",FALSE,TRUE),exact(metadata!G175,"mouse"))</f>
        <v>0</v>
      </c>
      <c r="AB175">
        <f>AND(IF(metadata!H175="",FALSE,TRUE),exact(metadata!H175,"Mus musculus"))</f>
        <v>0</v>
      </c>
      <c r="AC175">
        <f>AND(IF(metadata!I175="",FALSE,TRUE),exact(metadata!I175,"10090"))</f>
        <v>0</v>
      </c>
      <c r="AD175">
        <f>OR(AND(IF(metadata!J175="",FALSE,TRUE),OR(exact(metadata!J175,"not applicable"),exact(metadata!J175,"missing: not collected"),exact(metadata!J175,"missing: not provided"),exact(metadata!J175,"missing: restricted access"))),AND(IF(metadata!J175="",FALSE,ISNUMBER(VALUE(metadata!J175))),metadata!J175&gt;0))</f>
        <v>0</v>
      </c>
      <c r="AE175">
        <f>AND(IF(metadata!K175="",FALSE,TRUE),exact(metadata!K175,"g"))</f>
        <v>0</v>
      </c>
    </row>
    <row r="176" spans="1:31">
      <c r="A176" s="5">
        <f>IF(B176=" "," ",HYPERLINK(CONCATENATE("#metadata!",ADDRESS(INDEX($Q$2:$Q$1001,MATCH(ROWS($O$2:O176),$O$2:$O$1001,0),0),1)),INDEX($T$2:$T$1001,MATCH(ROWS($O$2:O176),$O$2:$O$1001,0),0)))</f>
        <v>0</v>
      </c>
      <c r="B176" s="4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4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4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4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4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4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4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4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4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4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OR(AND(IF(metadata!C176="",FALSE,TRUE),OR(exact(metadata!C176,"not applicable"),exact(metadata!C176,"missing: not collected"),exact(metadata!C176,"missing: not provided"),exact(metadata!C176,"missing: restricted access"))),AND(IF(metadata!C176="",FALSE,ISNUMBER(VALUE(metadata!C176))),metadata!C176&gt;0))</f>
        <v>0</v>
      </c>
      <c r="X176">
        <f>AND(IF(metadata!D176="",FALSE,TRUE),exact(metadata!D176,"weeks"))</f>
        <v>0</v>
      </c>
      <c r="Y176">
        <f>AND(IF(metadata!E176="",FALSE,TRUE),exact(metadata!E176,"urban biome"))</f>
        <v>0</v>
      </c>
      <c r="Z176">
        <f>AND(IF(metadata!F176="",FALSE,TRUE),exact(metadata!F176,"animal-associated habitat"))</f>
        <v>0</v>
      </c>
      <c r="AA176">
        <f>AND(IF(metadata!G176="",FALSE,TRUE),exact(metadata!G176,"mouse"))</f>
        <v>0</v>
      </c>
      <c r="AB176">
        <f>AND(IF(metadata!H176="",FALSE,TRUE),exact(metadata!H176,"Mus musculus"))</f>
        <v>0</v>
      </c>
      <c r="AC176">
        <f>AND(IF(metadata!I176="",FALSE,TRUE),exact(metadata!I176,"10090"))</f>
        <v>0</v>
      </c>
      <c r="AD176">
        <f>OR(AND(IF(metadata!J176="",FALSE,TRUE),OR(exact(metadata!J176,"not applicable"),exact(metadata!J176,"missing: not collected"),exact(metadata!J176,"missing: not provided"),exact(metadata!J176,"missing: restricted access"))),AND(IF(metadata!J176="",FALSE,ISNUMBER(VALUE(metadata!J176))),metadata!J176&gt;0))</f>
        <v>0</v>
      </c>
      <c r="AE176">
        <f>AND(IF(metadata!K176="",FALSE,TRUE),exact(metadata!K176,"g"))</f>
        <v>0</v>
      </c>
    </row>
    <row r="177" spans="1:31">
      <c r="A177" s="5">
        <f>IF(B177=" "," ",HYPERLINK(CONCATENATE("#metadata!",ADDRESS(INDEX($Q$2:$Q$1001,MATCH(ROWS($O$2:O177),$O$2:$O$1001,0),0),1)),INDEX($T$2:$T$1001,MATCH(ROWS($O$2:O177),$O$2:$O$1001,0),0)))</f>
        <v>0</v>
      </c>
      <c r="B177" s="4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4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4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4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4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4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4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4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4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4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OR(AND(IF(metadata!C177="",FALSE,TRUE),OR(exact(metadata!C177,"not applicable"),exact(metadata!C177,"missing: not collected"),exact(metadata!C177,"missing: not provided"),exact(metadata!C177,"missing: restricted access"))),AND(IF(metadata!C177="",FALSE,ISNUMBER(VALUE(metadata!C177))),metadata!C177&gt;0))</f>
        <v>0</v>
      </c>
      <c r="X177">
        <f>AND(IF(metadata!D177="",FALSE,TRUE),exact(metadata!D177,"weeks"))</f>
        <v>0</v>
      </c>
      <c r="Y177">
        <f>AND(IF(metadata!E177="",FALSE,TRUE),exact(metadata!E177,"urban biome"))</f>
        <v>0</v>
      </c>
      <c r="Z177">
        <f>AND(IF(metadata!F177="",FALSE,TRUE),exact(metadata!F177,"animal-associated habitat"))</f>
        <v>0</v>
      </c>
      <c r="AA177">
        <f>AND(IF(metadata!G177="",FALSE,TRUE),exact(metadata!G177,"mouse"))</f>
        <v>0</v>
      </c>
      <c r="AB177">
        <f>AND(IF(metadata!H177="",FALSE,TRUE),exact(metadata!H177,"Mus musculus"))</f>
        <v>0</v>
      </c>
      <c r="AC177">
        <f>AND(IF(metadata!I177="",FALSE,TRUE),exact(metadata!I177,"10090"))</f>
        <v>0</v>
      </c>
      <c r="AD177">
        <f>OR(AND(IF(metadata!J177="",FALSE,TRUE),OR(exact(metadata!J177,"not applicable"),exact(metadata!J177,"missing: not collected"),exact(metadata!J177,"missing: not provided"),exact(metadata!J177,"missing: restricted access"))),AND(IF(metadata!J177="",FALSE,ISNUMBER(VALUE(metadata!J177))),metadata!J177&gt;0))</f>
        <v>0</v>
      </c>
      <c r="AE177">
        <f>AND(IF(metadata!K177="",FALSE,TRUE),exact(metadata!K177,"g"))</f>
        <v>0</v>
      </c>
    </row>
    <row r="178" spans="1:31">
      <c r="A178" s="5">
        <f>IF(B178=" "," ",HYPERLINK(CONCATENATE("#metadata!",ADDRESS(INDEX($Q$2:$Q$1001,MATCH(ROWS($O$2:O178),$O$2:$O$1001,0),0),1)),INDEX($T$2:$T$1001,MATCH(ROWS($O$2:O178),$O$2:$O$1001,0),0)))</f>
        <v>0</v>
      </c>
      <c r="B178" s="4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4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4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4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4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4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4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4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4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4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OR(AND(IF(metadata!C178="",FALSE,TRUE),OR(exact(metadata!C178,"not applicable"),exact(metadata!C178,"missing: not collected"),exact(metadata!C178,"missing: not provided"),exact(metadata!C178,"missing: restricted access"))),AND(IF(metadata!C178="",FALSE,ISNUMBER(VALUE(metadata!C178))),metadata!C178&gt;0))</f>
        <v>0</v>
      </c>
      <c r="X178">
        <f>AND(IF(metadata!D178="",FALSE,TRUE),exact(metadata!D178,"weeks"))</f>
        <v>0</v>
      </c>
      <c r="Y178">
        <f>AND(IF(metadata!E178="",FALSE,TRUE),exact(metadata!E178,"urban biome"))</f>
        <v>0</v>
      </c>
      <c r="Z178">
        <f>AND(IF(metadata!F178="",FALSE,TRUE),exact(metadata!F178,"animal-associated habitat"))</f>
        <v>0</v>
      </c>
      <c r="AA178">
        <f>AND(IF(metadata!G178="",FALSE,TRUE),exact(metadata!G178,"mouse"))</f>
        <v>0</v>
      </c>
      <c r="AB178">
        <f>AND(IF(metadata!H178="",FALSE,TRUE),exact(metadata!H178,"Mus musculus"))</f>
        <v>0</v>
      </c>
      <c r="AC178">
        <f>AND(IF(metadata!I178="",FALSE,TRUE),exact(metadata!I178,"10090"))</f>
        <v>0</v>
      </c>
      <c r="AD178">
        <f>OR(AND(IF(metadata!J178="",FALSE,TRUE),OR(exact(metadata!J178,"not applicable"),exact(metadata!J178,"missing: not collected"),exact(metadata!J178,"missing: not provided"),exact(metadata!J178,"missing: restricted access"))),AND(IF(metadata!J178="",FALSE,ISNUMBER(VALUE(metadata!J178))),metadata!J178&gt;0))</f>
        <v>0</v>
      </c>
      <c r="AE178">
        <f>AND(IF(metadata!K178="",FALSE,TRUE),exact(metadata!K178,"g"))</f>
        <v>0</v>
      </c>
    </row>
    <row r="179" spans="1:31">
      <c r="A179" s="5">
        <f>IF(B179=" "," ",HYPERLINK(CONCATENATE("#metadata!",ADDRESS(INDEX($Q$2:$Q$1001,MATCH(ROWS($O$2:O179),$O$2:$O$1001,0),0),1)),INDEX($T$2:$T$1001,MATCH(ROWS($O$2:O179),$O$2:$O$1001,0),0)))</f>
        <v>0</v>
      </c>
      <c r="B179" s="4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4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4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4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4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4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4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4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4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4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OR(AND(IF(metadata!C179="",FALSE,TRUE),OR(exact(metadata!C179,"not applicable"),exact(metadata!C179,"missing: not collected"),exact(metadata!C179,"missing: not provided"),exact(metadata!C179,"missing: restricted access"))),AND(IF(metadata!C179="",FALSE,ISNUMBER(VALUE(metadata!C179))),metadata!C179&gt;0))</f>
        <v>0</v>
      </c>
      <c r="X179">
        <f>AND(IF(metadata!D179="",FALSE,TRUE),exact(metadata!D179,"weeks"))</f>
        <v>0</v>
      </c>
      <c r="Y179">
        <f>AND(IF(metadata!E179="",FALSE,TRUE),exact(metadata!E179,"urban biome"))</f>
        <v>0</v>
      </c>
      <c r="Z179">
        <f>AND(IF(metadata!F179="",FALSE,TRUE),exact(metadata!F179,"animal-associated habitat"))</f>
        <v>0</v>
      </c>
      <c r="AA179">
        <f>AND(IF(metadata!G179="",FALSE,TRUE),exact(metadata!G179,"mouse"))</f>
        <v>0</v>
      </c>
      <c r="AB179">
        <f>AND(IF(metadata!H179="",FALSE,TRUE),exact(metadata!H179,"Mus musculus"))</f>
        <v>0</v>
      </c>
      <c r="AC179">
        <f>AND(IF(metadata!I179="",FALSE,TRUE),exact(metadata!I179,"10090"))</f>
        <v>0</v>
      </c>
      <c r="AD179">
        <f>OR(AND(IF(metadata!J179="",FALSE,TRUE),OR(exact(metadata!J179,"not applicable"),exact(metadata!J179,"missing: not collected"),exact(metadata!J179,"missing: not provided"),exact(metadata!J179,"missing: restricted access"))),AND(IF(metadata!J179="",FALSE,ISNUMBER(VALUE(metadata!J179))),metadata!J179&gt;0))</f>
        <v>0</v>
      </c>
      <c r="AE179">
        <f>AND(IF(metadata!K179="",FALSE,TRUE),exact(metadata!K179,"g"))</f>
        <v>0</v>
      </c>
    </row>
    <row r="180" spans="1:31">
      <c r="A180" s="5">
        <f>IF(B180=" "," ",HYPERLINK(CONCATENATE("#metadata!",ADDRESS(INDEX($Q$2:$Q$1001,MATCH(ROWS($O$2:O180),$O$2:$O$1001,0),0),1)),INDEX($T$2:$T$1001,MATCH(ROWS($O$2:O180),$O$2:$O$1001,0),0)))</f>
        <v>0</v>
      </c>
      <c r="B180" s="4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4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4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4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4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4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4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4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4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4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OR(AND(IF(metadata!C180="",FALSE,TRUE),OR(exact(metadata!C180,"not applicable"),exact(metadata!C180,"missing: not collected"),exact(metadata!C180,"missing: not provided"),exact(metadata!C180,"missing: restricted access"))),AND(IF(metadata!C180="",FALSE,ISNUMBER(VALUE(metadata!C180))),metadata!C180&gt;0))</f>
        <v>0</v>
      </c>
      <c r="X180">
        <f>AND(IF(metadata!D180="",FALSE,TRUE),exact(metadata!D180,"weeks"))</f>
        <v>0</v>
      </c>
      <c r="Y180">
        <f>AND(IF(metadata!E180="",FALSE,TRUE),exact(metadata!E180,"urban biome"))</f>
        <v>0</v>
      </c>
      <c r="Z180">
        <f>AND(IF(metadata!F180="",FALSE,TRUE),exact(metadata!F180,"animal-associated habitat"))</f>
        <v>0</v>
      </c>
      <c r="AA180">
        <f>AND(IF(metadata!G180="",FALSE,TRUE),exact(metadata!G180,"mouse"))</f>
        <v>0</v>
      </c>
      <c r="AB180">
        <f>AND(IF(metadata!H180="",FALSE,TRUE),exact(metadata!H180,"Mus musculus"))</f>
        <v>0</v>
      </c>
      <c r="AC180">
        <f>AND(IF(metadata!I180="",FALSE,TRUE),exact(metadata!I180,"10090"))</f>
        <v>0</v>
      </c>
      <c r="AD180">
        <f>OR(AND(IF(metadata!J180="",FALSE,TRUE),OR(exact(metadata!J180,"not applicable"),exact(metadata!J180,"missing: not collected"),exact(metadata!J180,"missing: not provided"),exact(metadata!J180,"missing: restricted access"))),AND(IF(metadata!J180="",FALSE,ISNUMBER(VALUE(metadata!J180))),metadata!J180&gt;0))</f>
        <v>0</v>
      </c>
      <c r="AE180">
        <f>AND(IF(metadata!K180="",FALSE,TRUE),exact(metadata!K180,"g"))</f>
        <v>0</v>
      </c>
    </row>
    <row r="181" spans="1:31">
      <c r="A181" s="5">
        <f>IF(B181=" "," ",HYPERLINK(CONCATENATE("#metadata!",ADDRESS(INDEX($Q$2:$Q$1001,MATCH(ROWS($O$2:O181),$O$2:$O$1001,0),0),1)),INDEX($T$2:$T$1001,MATCH(ROWS($O$2:O181),$O$2:$O$1001,0),0)))</f>
        <v>0</v>
      </c>
      <c r="B181" s="4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4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4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4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4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4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4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4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4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4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OR(AND(IF(metadata!C181="",FALSE,TRUE),OR(exact(metadata!C181,"not applicable"),exact(metadata!C181,"missing: not collected"),exact(metadata!C181,"missing: not provided"),exact(metadata!C181,"missing: restricted access"))),AND(IF(metadata!C181="",FALSE,ISNUMBER(VALUE(metadata!C181))),metadata!C181&gt;0))</f>
        <v>0</v>
      </c>
      <c r="X181">
        <f>AND(IF(metadata!D181="",FALSE,TRUE),exact(metadata!D181,"weeks"))</f>
        <v>0</v>
      </c>
      <c r="Y181">
        <f>AND(IF(metadata!E181="",FALSE,TRUE),exact(metadata!E181,"urban biome"))</f>
        <v>0</v>
      </c>
      <c r="Z181">
        <f>AND(IF(metadata!F181="",FALSE,TRUE),exact(metadata!F181,"animal-associated habitat"))</f>
        <v>0</v>
      </c>
      <c r="AA181">
        <f>AND(IF(metadata!G181="",FALSE,TRUE),exact(metadata!G181,"mouse"))</f>
        <v>0</v>
      </c>
      <c r="AB181">
        <f>AND(IF(metadata!H181="",FALSE,TRUE),exact(metadata!H181,"Mus musculus"))</f>
        <v>0</v>
      </c>
      <c r="AC181">
        <f>AND(IF(metadata!I181="",FALSE,TRUE),exact(metadata!I181,"10090"))</f>
        <v>0</v>
      </c>
      <c r="AD181">
        <f>OR(AND(IF(metadata!J181="",FALSE,TRUE),OR(exact(metadata!J181,"not applicable"),exact(metadata!J181,"missing: not collected"),exact(metadata!J181,"missing: not provided"),exact(metadata!J181,"missing: restricted access"))),AND(IF(metadata!J181="",FALSE,ISNUMBER(VALUE(metadata!J181))),metadata!J181&gt;0))</f>
        <v>0</v>
      </c>
      <c r="AE181">
        <f>AND(IF(metadata!K181="",FALSE,TRUE),exact(metadata!K181,"g"))</f>
        <v>0</v>
      </c>
    </row>
    <row r="182" spans="1:31">
      <c r="A182" s="5">
        <f>IF(B182=" "," ",HYPERLINK(CONCATENATE("#metadata!",ADDRESS(INDEX($Q$2:$Q$1001,MATCH(ROWS($O$2:O182),$O$2:$O$1001,0),0),1)),INDEX($T$2:$T$1001,MATCH(ROWS($O$2:O182),$O$2:$O$1001,0),0)))</f>
        <v>0</v>
      </c>
      <c r="B182" s="4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4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4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4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4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4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4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4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4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4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OR(AND(IF(metadata!C182="",FALSE,TRUE),OR(exact(metadata!C182,"not applicable"),exact(metadata!C182,"missing: not collected"),exact(metadata!C182,"missing: not provided"),exact(metadata!C182,"missing: restricted access"))),AND(IF(metadata!C182="",FALSE,ISNUMBER(VALUE(metadata!C182))),metadata!C182&gt;0))</f>
        <v>0</v>
      </c>
      <c r="X182">
        <f>AND(IF(metadata!D182="",FALSE,TRUE),exact(metadata!D182,"weeks"))</f>
        <v>0</v>
      </c>
      <c r="Y182">
        <f>AND(IF(metadata!E182="",FALSE,TRUE),exact(metadata!E182,"urban biome"))</f>
        <v>0</v>
      </c>
      <c r="Z182">
        <f>AND(IF(metadata!F182="",FALSE,TRUE),exact(metadata!F182,"animal-associated habitat"))</f>
        <v>0</v>
      </c>
      <c r="AA182">
        <f>AND(IF(metadata!G182="",FALSE,TRUE),exact(metadata!G182,"mouse"))</f>
        <v>0</v>
      </c>
      <c r="AB182">
        <f>AND(IF(metadata!H182="",FALSE,TRUE),exact(metadata!H182,"Mus musculus"))</f>
        <v>0</v>
      </c>
      <c r="AC182">
        <f>AND(IF(metadata!I182="",FALSE,TRUE),exact(metadata!I182,"10090"))</f>
        <v>0</v>
      </c>
      <c r="AD182">
        <f>OR(AND(IF(metadata!J182="",FALSE,TRUE),OR(exact(metadata!J182,"not applicable"),exact(metadata!J182,"missing: not collected"),exact(metadata!J182,"missing: not provided"),exact(metadata!J182,"missing: restricted access"))),AND(IF(metadata!J182="",FALSE,ISNUMBER(VALUE(metadata!J182))),metadata!J182&gt;0))</f>
        <v>0</v>
      </c>
      <c r="AE182">
        <f>AND(IF(metadata!K182="",FALSE,TRUE),exact(metadata!K182,"g"))</f>
        <v>0</v>
      </c>
    </row>
    <row r="183" spans="1:31">
      <c r="A183" s="5">
        <f>IF(B183=" "," ",HYPERLINK(CONCATENATE("#metadata!",ADDRESS(INDEX($Q$2:$Q$1001,MATCH(ROWS($O$2:O183),$O$2:$O$1001,0),0),1)),INDEX($T$2:$T$1001,MATCH(ROWS($O$2:O183),$O$2:$O$1001,0),0)))</f>
        <v>0</v>
      </c>
      <c r="B183" s="4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4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4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4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4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4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4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4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4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4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OR(AND(IF(metadata!C183="",FALSE,TRUE),OR(exact(metadata!C183,"not applicable"),exact(metadata!C183,"missing: not collected"),exact(metadata!C183,"missing: not provided"),exact(metadata!C183,"missing: restricted access"))),AND(IF(metadata!C183="",FALSE,ISNUMBER(VALUE(metadata!C183))),metadata!C183&gt;0))</f>
        <v>0</v>
      </c>
      <c r="X183">
        <f>AND(IF(metadata!D183="",FALSE,TRUE),exact(metadata!D183,"weeks"))</f>
        <v>0</v>
      </c>
      <c r="Y183">
        <f>AND(IF(metadata!E183="",FALSE,TRUE),exact(metadata!E183,"urban biome"))</f>
        <v>0</v>
      </c>
      <c r="Z183">
        <f>AND(IF(metadata!F183="",FALSE,TRUE),exact(metadata!F183,"animal-associated habitat"))</f>
        <v>0</v>
      </c>
      <c r="AA183">
        <f>AND(IF(metadata!G183="",FALSE,TRUE),exact(metadata!G183,"mouse"))</f>
        <v>0</v>
      </c>
      <c r="AB183">
        <f>AND(IF(metadata!H183="",FALSE,TRUE),exact(metadata!H183,"Mus musculus"))</f>
        <v>0</v>
      </c>
      <c r="AC183">
        <f>AND(IF(metadata!I183="",FALSE,TRUE),exact(metadata!I183,"10090"))</f>
        <v>0</v>
      </c>
      <c r="AD183">
        <f>OR(AND(IF(metadata!J183="",FALSE,TRUE),OR(exact(metadata!J183,"not applicable"),exact(metadata!J183,"missing: not collected"),exact(metadata!J183,"missing: not provided"),exact(metadata!J183,"missing: restricted access"))),AND(IF(metadata!J183="",FALSE,ISNUMBER(VALUE(metadata!J183))),metadata!J183&gt;0))</f>
        <v>0</v>
      </c>
      <c r="AE183">
        <f>AND(IF(metadata!K183="",FALSE,TRUE),exact(metadata!K183,"g"))</f>
        <v>0</v>
      </c>
    </row>
    <row r="184" spans="1:31">
      <c r="A184" s="5">
        <f>IF(B184=" "," ",HYPERLINK(CONCATENATE("#metadata!",ADDRESS(INDEX($Q$2:$Q$1001,MATCH(ROWS($O$2:O184),$O$2:$O$1001,0),0),1)),INDEX($T$2:$T$1001,MATCH(ROWS($O$2:O184),$O$2:$O$1001,0),0)))</f>
        <v>0</v>
      </c>
      <c r="B184" s="4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4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4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4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4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4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4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4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4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4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OR(AND(IF(metadata!C184="",FALSE,TRUE),OR(exact(metadata!C184,"not applicable"),exact(metadata!C184,"missing: not collected"),exact(metadata!C184,"missing: not provided"),exact(metadata!C184,"missing: restricted access"))),AND(IF(metadata!C184="",FALSE,ISNUMBER(VALUE(metadata!C184))),metadata!C184&gt;0))</f>
        <v>0</v>
      </c>
      <c r="X184">
        <f>AND(IF(metadata!D184="",FALSE,TRUE),exact(metadata!D184,"weeks"))</f>
        <v>0</v>
      </c>
      <c r="Y184">
        <f>AND(IF(metadata!E184="",FALSE,TRUE),exact(metadata!E184,"urban biome"))</f>
        <v>0</v>
      </c>
      <c r="Z184">
        <f>AND(IF(metadata!F184="",FALSE,TRUE),exact(metadata!F184,"animal-associated habitat"))</f>
        <v>0</v>
      </c>
      <c r="AA184">
        <f>AND(IF(metadata!G184="",FALSE,TRUE),exact(metadata!G184,"mouse"))</f>
        <v>0</v>
      </c>
      <c r="AB184">
        <f>AND(IF(metadata!H184="",FALSE,TRUE),exact(metadata!H184,"Mus musculus"))</f>
        <v>0</v>
      </c>
      <c r="AC184">
        <f>AND(IF(metadata!I184="",FALSE,TRUE),exact(metadata!I184,"10090"))</f>
        <v>0</v>
      </c>
      <c r="AD184">
        <f>OR(AND(IF(metadata!J184="",FALSE,TRUE),OR(exact(metadata!J184,"not applicable"),exact(metadata!J184,"missing: not collected"),exact(metadata!J184,"missing: not provided"),exact(metadata!J184,"missing: restricted access"))),AND(IF(metadata!J184="",FALSE,ISNUMBER(VALUE(metadata!J184))),metadata!J184&gt;0))</f>
        <v>0</v>
      </c>
      <c r="AE184">
        <f>AND(IF(metadata!K184="",FALSE,TRUE),exact(metadata!K184,"g"))</f>
        <v>0</v>
      </c>
    </row>
    <row r="185" spans="1:31">
      <c r="A185" s="5">
        <f>IF(B185=" "," ",HYPERLINK(CONCATENATE("#metadata!",ADDRESS(INDEX($Q$2:$Q$1001,MATCH(ROWS($O$2:O185),$O$2:$O$1001,0),0),1)),INDEX($T$2:$T$1001,MATCH(ROWS($O$2:O185),$O$2:$O$1001,0),0)))</f>
        <v>0</v>
      </c>
      <c r="B185" s="4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4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4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4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4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4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4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4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4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4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OR(AND(IF(metadata!C185="",FALSE,TRUE),OR(exact(metadata!C185,"not applicable"),exact(metadata!C185,"missing: not collected"),exact(metadata!C185,"missing: not provided"),exact(metadata!C185,"missing: restricted access"))),AND(IF(metadata!C185="",FALSE,ISNUMBER(VALUE(metadata!C185))),metadata!C185&gt;0))</f>
        <v>0</v>
      </c>
      <c r="X185">
        <f>AND(IF(metadata!D185="",FALSE,TRUE),exact(metadata!D185,"weeks"))</f>
        <v>0</v>
      </c>
      <c r="Y185">
        <f>AND(IF(metadata!E185="",FALSE,TRUE),exact(metadata!E185,"urban biome"))</f>
        <v>0</v>
      </c>
      <c r="Z185">
        <f>AND(IF(metadata!F185="",FALSE,TRUE),exact(metadata!F185,"animal-associated habitat"))</f>
        <v>0</v>
      </c>
      <c r="AA185">
        <f>AND(IF(metadata!G185="",FALSE,TRUE),exact(metadata!G185,"mouse"))</f>
        <v>0</v>
      </c>
      <c r="AB185">
        <f>AND(IF(metadata!H185="",FALSE,TRUE),exact(metadata!H185,"Mus musculus"))</f>
        <v>0</v>
      </c>
      <c r="AC185">
        <f>AND(IF(metadata!I185="",FALSE,TRUE),exact(metadata!I185,"10090"))</f>
        <v>0</v>
      </c>
      <c r="AD185">
        <f>OR(AND(IF(metadata!J185="",FALSE,TRUE),OR(exact(metadata!J185,"not applicable"),exact(metadata!J185,"missing: not collected"),exact(metadata!J185,"missing: not provided"),exact(metadata!J185,"missing: restricted access"))),AND(IF(metadata!J185="",FALSE,ISNUMBER(VALUE(metadata!J185))),metadata!J185&gt;0))</f>
        <v>0</v>
      </c>
      <c r="AE185">
        <f>AND(IF(metadata!K185="",FALSE,TRUE),exact(metadata!K185,"g"))</f>
        <v>0</v>
      </c>
    </row>
    <row r="186" spans="1:31">
      <c r="A186" s="5">
        <f>IF(B186=" "," ",HYPERLINK(CONCATENATE("#metadata!",ADDRESS(INDEX($Q$2:$Q$1001,MATCH(ROWS($O$2:O186),$O$2:$O$1001,0),0),1)),INDEX($T$2:$T$1001,MATCH(ROWS($O$2:O186),$O$2:$O$1001,0),0)))</f>
        <v>0</v>
      </c>
      <c r="B186" s="4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4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4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4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4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4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4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4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4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4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OR(AND(IF(metadata!C186="",FALSE,TRUE),OR(exact(metadata!C186,"not applicable"),exact(metadata!C186,"missing: not collected"),exact(metadata!C186,"missing: not provided"),exact(metadata!C186,"missing: restricted access"))),AND(IF(metadata!C186="",FALSE,ISNUMBER(VALUE(metadata!C186))),metadata!C186&gt;0))</f>
        <v>0</v>
      </c>
      <c r="X186">
        <f>AND(IF(metadata!D186="",FALSE,TRUE),exact(metadata!D186,"weeks"))</f>
        <v>0</v>
      </c>
      <c r="Y186">
        <f>AND(IF(metadata!E186="",FALSE,TRUE),exact(metadata!E186,"urban biome"))</f>
        <v>0</v>
      </c>
      <c r="Z186">
        <f>AND(IF(metadata!F186="",FALSE,TRUE),exact(metadata!F186,"animal-associated habitat"))</f>
        <v>0</v>
      </c>
      <c r="AA186">
        <f>AND(IF(metadata!G186="",FALSE,TRUE),exact(metadata!G186,"mouse"))</f>
        <v>0</v>
      </c>
      <c r="AB186">
        <f>AND(IF(metadata!H186="",FALSE,TRUE),exact(metadata!H186,"Mus musculus"))</f>
        <v>0</v>
      </c>
      <c r="AC186">
        <f>AND(IF(metadata!I186="",FALSE,TRUE),exact(metadata!I186,"10090"))</f>
        <v>0</v>
      </c>
      <c r="AD186">
        <f>OR(AND(IF(metadata!J186="",FALSE,TRUE),OR(exact(metadata!J186,"not applicable"),exact(metadata!J186,"missing: not collected"),exact(metadata!J186,"missing: not provided"),exact(metadata!J186,"missing: restricted access"))),AND(IF(metadata!J186="",FALSE,ISNUMBER(VALUE(metadata!J186))),metadata!J186&gt;0))</f>
        <v>0</v>
      </c>
      <c r="AE186">
        <f>AND(IF(metadata!K186="",FALSE,TRUE),exact(metadata!K186,"g"))</f>
        <v>0</v>
      </c>
    </row>
    <row r="187" spans="1:31">
      <c r="A187" s="5">
        <f>IF(B187=" "," ",HYPERLINK(CONCATENATE("#metadata!",ADDRESS(INDEX($Q$2:$Q$1001,MATCH(ROWS($O$2:O187),$O$2:$O$1001,0),0),1)),INDEX($T$2:$T$1001,MATCH(ROWS($O$2:O187),$O$2:$O$1001,0),0)))</f>
        <v>0</v>
      </c>
      <c r="B187" s="4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4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4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4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4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4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4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4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4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4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OR(AND(IF(metadata!C187="",FALSE,TRUE),OR(exact(metadata!C187,"not applicable"),exact(metadata!C187,"missing: not collected"),exact(metadata!C187,"missing: not provided"),exact(metadata!C187,"missing: restricted access"))),AND(IF(metadata!C187="",FALSE,ISNUMBER(VALUE(metadata!C187))),metadata!C187&gt;0))</f>
        <v>0</v>
      </c>
      <c r="X187">
        <f>AND(IF(metadata!D187="",FALSE,TRUE),exact(metadata!D187,"weeks"))</f>
        <v>0</v>
      </c>
      <c r="Y187">
        <f>AND(IF(metadata!E187="",FALSE,TRUE),exact(metadata!E187,"urban biome"))</f>
        <v>0</v>
      </c>
      <c r="Z187">
        <f>AND(IF(metadata!F187="",FALSE,TRUE),exact(metadata!F187,"animal-associated habitat"))</f>
        <v>0</v>
      </c>
      <c r="AA187">
        <f>AND(IF(metadata!G187="",FALSE,TRUE),exact(metadata!G187,"mouse"))</f>
        <v>0</v>
      </c>
      <c r="AB187">
        <f>AND(IF(metadata!H187="",FALSE,TRUE),exact(metadata!H187,"Mus musculus"))</f>
        <v>0</v>
      </c>
      <c r="AC187">
        <f>AND(IF(metadata!I187="",FALSE,TRUE),exact(metadata!I187,"10090"))</f>
        <v>0</v>
      </c>
      <c r="AD187">
        <f>OR(AND(IF(metadata!J187="",FALSE,TRUE),OR(exact(metadata!J187,"not applicable"),exact(metadata!J187,"missing: not collected"),exact(metadata!J187,"missing: not provided"),exact(metadata!J187,"missing: restricted access"))),AND(IF(metadata!J187="",FALSE,ISNUMBER(VALUE(metadata!J187))),metadata!J187&gt;0))</f>
        <v>0</v>
      </c>
      <c r="AE187">
        <f>AND(IF(metadata!K187="",FALSE,TRUE),exact(metadata!K187,"g"))</f>
        <v>0</v>
      </c>
    </row>
    <row r="188" spans="1:31">
      <c r="A188" s="5">
        <f>IF(B188=" "," ",HYPERLINK(CONCATENATE("#metadata!",ADDRESS(INDEX($Q$2:$Q$1001,MATCH(ROWS($O$2:O188),$O$2:$O$1001,0),0),1)),INDEX($T$2:$T$1001,MATCH(ROWS($O$2:O188),$O$2:$O$1001,0),0)))</f>
        <v>0</v>
      </c>
      <c r="B188" s="4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4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4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4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4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4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4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4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4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4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OR(AND(IF(metadata!C188="",FALSE,TRUE),OR(exact(metadata!C188,"not applicable"),exact(metadata!C188,"missing: not collected"),exact(metadata!C188,"missing: not provided"),exact(metadata!C188,"missing: restricted access"))),AND(IF(metadata!C188="",FALSE,ISNUMBER(VALUE(metadata!C188))),metadata!C188&gt;0))</f>
        <v>0</v>
      </c>
      <c r="X188">
        <f>AND(IF(metadata!D188="",FALSE,TRUE),exact(metadata!D188,"weeks"))</f>
        <v>0</v>
      </c>
      <c r="Y188">
        <f>AND(IF(metadata!E188="",FALSE,TRUE),exact(metadata!E188,"urban biome"))</f>
        <v>0</v>
      </c>
      <c r="Z188">
        <f>AND(IF(metadata!F188="",FALSE,TRUE),exact(metadata!F188,"animal-associated habitat"))</f>
        <v>0</v>
      </c>
      <c r="AA188">
        <f>AND(IF(metadata!G188="",FALSE,TRUE),exact(metadata!G188,"mouse"))</f>
        <v>0</v>
      </c>
      <c r="AB188">
        <f>AND(IF(metadata!H188="",FALSE,TRUE),exact(metadata!H188,"Mus musculus"))</f>
        <v>0</v>
      </c>
      <c r="AC188">
        <f>AND(IF(metadata!I188="",FALSE,TRUE),exact(metadata!I188,"10090"))</f>
        <v>0</v>
      </c>
      <c r="AD188">
        <f>OR(AND(IF(metadata!J188="",FALSE,TRUE),OR(exact(metadata!J188,"not applicable"),exact(metadata!J188,"missing: not collected"),exact(metadata!J188,"missing: not provided"),exact(metadata!J188,"missing: restricted access"))),AND(IF(metadata!J188="",FALSE,ISNUMBER(VALUE(metadata!J188))),metadata!J188&gt;0))</f>
        <v>0</v>
      </c>
      <c r="AE188">
        <f>AND(IF(metadata!K188="",FALSE,TRUE),exact(metadata!K188,"g"))</f>
        <v>0</v>
      </c>
    </row>
    <row r="189" spans="1:31">
      <c r="A189" s="5">
        <f>IF(B189=" "," ",HYPERLINK(CONCATENATE("#metadata!",ADDRESS(INDEX($Q$2:$Q$1001,MATCH(ROWS($O$2:O189),$O$2:$O$1001,0),0),1)),INDEX($T$2:$T$1001,MATCH(ROWS($O$2:O189),$O$2:$O$1001,0),0)))</f>
        <v>0</v>
      </c>
      <c r="B189" s="4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4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4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4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4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4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4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4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4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4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OR(AND(IF(metadata!C189="",FALSE,TRUE),OR(exact(metadata!C189,"not applicable"),exact(metadata!C189,"missing: not collected"),exact(metadata!C189,"missing: not provided"),exact(metadata!C189,"missing: restricted access"))),AND(IF(metadata!C189="",FALSE,ISNUMBER(VALUE(metadata!C189))),metadata!C189&gt;0))</f>
        <v>0</v>
      </c>
      <c r="X189">
        <f>AND(IF(metadata!D189="",FALSE,TRUE),exact(metadata!D189,"weeks"))</f>
        <v>0</v>
      </c>
      <c r="Y189">
        <f>AND(IF(metadata!E189="",FALSE,TRUE),exact(metadata!E189,"urban biome"))</f>
        <v>0</v>
      </c>
      <c r="Z189">
        <f>AND(IF(metadata!F189="",FALSE,TRUE),exact(metadata!F189,"animal-associated habitat"))</f>
        <v>0</v>
      </c>
      <c r="AA189">
        <f>AND(IF(metadata!G189="",FALSE,TRUE),exact(metadata!G189,"mouse"))</f>
        <v>0</v>
      </c>
      <c r="AB189">
        <f>AND(IF(metadata!H189="",FALSE,TRUE),exact(metadata!H189,"Mus musculus"))</f>
        <v>0</v>
      </c>
      <c r="AC189">
        <f>AND(IF(metadata!I189="",FALSE,TRUE),exact(metadata!I189,"10090"))</f>
        <v>0</v>
      </c>
      <c r="AD189">
        <f>OR(AND(IF(metadata!J189="",FALSE,TRUE),OR(exact(metadata!J189,"not applicable"),exact(metadata!J189,"missing: not collected"),exact(metadata!J189,"missing: not provided"),exact(metadata!J189,"missing: restricted access"))),AND(IF(metadata!J189="",FALSE,ISNUMBER(VALUE(metadata!J189))),metadata!J189&gt;0))</f>
        <v>0</v>
      </c>
      <c r="AE189">
        <f>AND(IF(metadata!K189="",FALSE,TRUE),exact(metadata!K189,"g"))</f>
        <v>0</v>
      </c>
    </row>
    <row r="190" spans="1:31">
      <c r="A190" s="5">
        <f>IF(B190=" "," ",HYPERLINK(CONCATENATE("#metadata!",ADDRESS(INDEX($Q$2:$Q$1001,MATCH(ROWS($O$2:O190),$O$2:$O$1001,0),0),1)),INDEX($T$2:$T$1001,MATCH(ROWS($O$2:O190),$O$2:$O$1001,0),0)))</f>
        <v>0</v>
      </c>
      <c r="B190" s="4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4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4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4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4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4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4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4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4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4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OR(AND(IF(metadata!C190="",FALSE,TRUE),OR(exact(metadata!C190,"not applicable"),exact(metadata!C190,"missing: not collected"),exact(metadata!C190,"missing: not provided"),exact(metadata!C190,"missing: restricted access"))),AND(IF(metadata!C190="",FALSE,ISNUMBER(VALUE(metadata!C190))),metadata!C190&gt;0))</f>
        <v>0</v>
      </c>
      <c r="X190">
        <f>AND(IF(metadata!D190="",FALSE,TRUE),exact(metadata!D190,"weeks"))</f>
        <v>0</v>
      </c>
      <c r="Y190">
        <f>AND(IF(metadata!E190="",FALSE,TRUE),exact(metadata!E190,"urban biome"))</f>
        <v>0</v>
      </c>
      <c r="Z190">
        <f>AND(IF(metadata!F190="",FALSE,TRUE),exact(metadata!F190,"animal-associated habitat"))</f>
        <v>0</v>
      </c>
      <c r="AA190">
        <f>AND(IF(metadata!G190="",FALSE,TRUE),exact(metadata!G190,"mouse"))</f>
        <v>0</v>
      </c>
      <c r="AB190">
        <f>AND(IF(metadata!H190="",FALSE,TRUE),exact(metadata!H190,"Mus musculus"))</f>
        <v>0</v>
      </c>
      <c r="AC190">
        <f>AND(IF(metadata!I190="",FALSE,TRUE),exact(metadata!I190,"10090"))</f>
        <v>0</v>
      </c>
      <c r="AD190">
        <f>OR(AND(IF(metadata!J190="",FALSE,TRUE),OR(exact(metadata!J190,"not applicable"),exact(metadata!J190,"missing: not collected"),exact(metadata!J190,"missing: not provided"),exact(metadata!J190,"missing: restricted access"))),AND(IF(metadata!J190="",FALSE,ISNUMBER(VALUE(metadata!J190))),metadata!J190&gt;0))</f>
        <v>0</v>
      </c>
      <c r="AE190">
        <f>AND(IF(metadata!K190="",FALSE,TRUE),exact(metadata!K190,"g"))</f>
        <v>0</v>
      </c>
    </row>
    <row r="191" spans="1:31">
      <c r="A191" s="5">
        <f>IF(B191=" "," ",HYPERLINK(CONCATENATE("#metadata!",ADDRESS(INDEX($Q$2:$Q$1001,MATCH(ROWS($O$2:O191),$O$2:$O$1001,0),0),1)),INDEX($T$2:$T$1001,MATCH(ROWS($O$2:O191),$O$2:$O$1001,0),0)))</f>
        <v>0</v>
      </c>
      <c r="B191" s="4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4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4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4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4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4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4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4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4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4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OR(AND(IF(metadata!C191="",FALSE,TRUE),OR(exact(metadata!C191,"not applicable"),exact(metadata!C191,"missing: not collected"),exact(metadata!C191,"missing: not provided"),exact(metadata!C191,"missing: restricted access"))),AND(IF(metadata!C191="",FALSE,ISNUMBER(VALUE(metadata!C191))),metadata!C191&gt;0))</f>
        <v>0</v>
      </c>
      <c r="X191">
        <f>AND(IF(metadata!D191="",FALSE,TRUE),exact(metadata!D191,"weeks"))</f>
        <v>0</v>
      </c>
      <c r="Y191">
        <f>AND(IF(metadata!E191="",FALSE,TRUE),exact(metadata!E191,"urban biome"))</f>
        <v>0</v>
      </c>
      <c r="Z191">
        <f>AND(IF(metadata!F191="",FALSE,TRUE),exact(metadata!F191,"animal-associated habitat"))</f>
        <v>0</v>
      </c>
      <c r="AA191">
        <f>AND(IF(metadata!G191="",FALSE,TRUE),exact(metadata!G191,"mouse"))</f>
        <v>0</v>
      </c>
      <c r="AB191">
        <f>AND(IF(metadata!H191="",FALSE,TRUE),exact(metadata!H191,"Mus musculus"))</f>
        <v>0</v>
      </c>
      <c r="AC191">
        <f>AND(IF(metadata!I191="",FALSE,TRUE),exact(metadata!I191,"10090"))</f>
        <v>0</v>
      </c>
      <c r="AD191">
        <f>OR(AND(IF(metadata!J191="",FALSE,TRUE),OR(exact(metadata!J191,"not applicable"),exact(metadata!J191,"missing: not collected"),exact(metadata!J191,"missing: not provided"),exact(metadata!J191,"missing: restricted access"))),AND(IF(metadata!J191="",FALSE,ISNUMBER(VALUE(metadata!J191))),metadata!J191&gt;0))</f>
        <v>0</v>
      </c>
      <c r="AE191">
        <f>AND(IF(metadata!K191="",FALSE,TRUE),exact(metadata!K191,"g"))</f>
        <v>0</v>
      </c>
    </row>
    <row r="192" spans="1:31">
      <c r="A192" s="5">
        <f>IF(B192=" "," ",HYPERLINK(CONCATENATE("#metadata!",ADDRESS(INDEX($Q$2:$Q$1001,MATCH(ROWS($O$2:O192),$O$2:$O$1001,0),0),1)),INDEX($T$2:$T$1001,MATCH(ROWS($O$2:O192),$O$2:$O$1001,0),0)))</f>
        <v>0</v>
      </c>
      <c r="B192" s="4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4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4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4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4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4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4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4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4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4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OR(AND(IF(metadata!C192="",FALSE,TRUE),OR(exact(metadata!C192,"not applicable"),exact(metadata!C192,"missing: not collected"),exact(metadata!C192,"missing: not provided"),exact(metadata!C192,"missing: restricted access"))),AND(IF(metadata!C192="",FALSE,ISNUMBER(VALUE(metadata!C192))),metadata!C192&gt;0))</f>
        <v>0</v>
      </c>
      <c r="X192">
        <f>AND(IF(metadata!D192="",FALSE,TRUE),exact(metadata!D192,"weeks"))</f>
        <v>0</v>
      </c>
      <c r="Y192">
        <f>AND(IF(metadata!E192="",FALSE,TRUE),exact(metadata!E192,"urban biome"))</f>
        <v>0</v>
      </c>
      <c r="Z192">
        <f>AND(IF(metadata!F192="",FALSE,TRUE),exact(metadata!F192,"animal-associated habitat"))</f>
        <v>0</v>
      </c>
      <c r="AA192">
        <f>AND(IF(metadata!G192="",FALSE,TRUE),exact(metadata!G192,"mouse"))</f>
        <v>0</v>
      </c>
      <c r="AB192">
        <f>AND(IF(metadata!H192="",FALSE,TRUE),exact(metadata!H192,"Mus musculus"))</f>
        <v>0</v>
      </c>
      <c r="AC192">
        <f>AND(IF(metadata!I192="",FALSE,TRUE),exact(metadata!I192,"10090"))</f>
        <v>0</v>
      </c>
      <c r="AD192">
        <f>OR(AND(IF(metadata!J192="",FALSE,TRUE),OR(exact(metadata!J192,"not applicable"),exact(metadata!J192,"missing: not collected"),exact(metadata!J192,"missing: not provided"),exact(metadata!J192,"missing: restricted access"))),AND(IF(metadata!J192="",FALSE,ISNUMBER(VALUE(metadata!J192))),metadata!J192&gt;0))</f>
        <v>0</v>
      </c>
      <c r="AE192">
        <f>AND(IF(metadata!K192="",FALSE,TRUE),exact(metadata!K192,"g"))</f>
        <v>0</v>
      </c>
    </row>
    <row r="193" spans="1:31">
      <c r="A193" s="5">
        <f>IF(B193=" "," ",HYPERLINK(CONCATENATE("#metadata!",ADDRESS(INDEX($Q$2:$Q$1001,MATCH(ROWS($O$2:O193),$O$2:$O$1001,0),0),1)),INDEX($T$2:$T$1001,MATCH(ROWS($O$2:O193),$O$2:$O$1001,0),0)))</f>
        <v>0</v>
      </c>
      <c r="B193" s="4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4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4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4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4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4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4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4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4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4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OR(AND(IF(metadata!C193="",FALSE,TRUE),OR(exact(metadata!C193,"not applicable"),exact(metadata!C193,"missing: not collected"),exact(metadata!C193,"missing: not provided"),exact(metadata!C193,"missing: restricted access"))),AND(IF(metadata!C193="",FALSE,ISNUMBER(VALUE(metadata!C193))),metadata!C193&gt;0))</f>
        <v>0</v>
      </c>
      <c r="X193">
        <f>AND(IF(metadata!D193="",FALSE,TRUE),exact(metadata!D193,"weeks"))</f>
        <v>0</v>
      </c>
      <c r="Y193">
        <f>AND(IF(metadata!E193="",FALSE,TRUE),exact(metadata!E193,"urban biome"))</f>
        <v>0</v>
      </c>
      <c r="Z193">
        <f>AND(IF(metadata!F193="",FALSE,TRUE),exact(metadata!F193,"animal-associated habitat"))</f>
        <v>0</v>
      </c>
      <c r="AA193">
        <f>AND(IF(metadata!G193="",FALSE,TRUE),exact(metadata!G193,"mouse"))</f>
        <v>0</v>
      </c>
      <c r="AB193">
        <f>AND(IF(metadata!H193="",FALSE,TRUE),exact(metadata!H193,"Mus musculus"))</f>
        <v>0</v>
      </c>
      <c r="AC193">
        <f>AND(IF(metadata!I193="",FALSE,TRUE),exact(metadata!I193,"10090"))</f>
        <v>0</v>
      </c>
      <c r="AD193">
        <f>OR(AND(IF(metadata!J193="",FALSE,TRUE),OR(exact(metadata!J193,"not applicable"),exact(metadata!J193,"missing: not collected"),exact(metadata!J193,"missing: not provided"),exact(metadata!J193,"missing: restricted access"))),AND(IF(metadata!J193="",FALSE,ISNUMBER(VALUE(metadata!J193))),metadata!J193&gt;0))</f>
        <v>0</v>
      </c>
      <c r="AE193">
        <f>AND(IF(metadata!K193="",FALSE,TRUE),exact(metadata!K193,"g"))</f>
        <v>0</v>
      </c>
    </row>
    <row r="194" spans="1:31">
      <c r="A194" s="5">
        <f>IF(B194=" "," ",HYPERLINK(CONCATENATE("#metadata!",ADDRESS(INDEX($Q$2:$Q$1001,MATCH(ROWS($O$2:O194),$O$2:$O$1001,0),0),1)),INDEX($T$2:$T$1001,MATCH(ROWS($O$2:O194),$O$2:$O$1001,0),0)))</f>
        <v>0</v>
      </c>
      <c r="B194" s="4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4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4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4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4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4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4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4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4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4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OR(AND(IF(metadata!C194="",FALSE,TRUE),OR(exact(metadata!C194,"not applicable"),exact(metadata!C194,"missing: not collected"),exact(metadata!C194,"missing: not provided"),exact(metadata!C194,"missing: restricted access"))),AND(IF(metadata!C194="",FALSE,ISNUMBER(VALUE(metadata!C194))),metadata!C194&gt;0))</f>
        <v>0</v>
      </c>
      <c r="X194">
        <f>AND(IF(metadata!D194="",FALSE,TRUE),exact(metadata!D194,"weeks"))</f>
        <v>0</v>
      </c>
      <c r="Y194">
        <f>AND(IF(metadata!E194="",FALSE,TRUE),exact(metadata!E194,"urban biome"))</f>
        <v>0</v>
      </c>
      <c r="Z194">
        <f>AND(IF(metadata!F194="",FALSE,TRUE),exact(metadata!F194,"animal-associated habitat"))</f>
        <v>0</v>
      </c>
      <c r="AA194">
        <f>AND(IF(metadata!G194="",FALSE,TRUE),exact(metadata!G194,"mouse"))</f>
        <v>0</v>
      </c>
      <c r="AB194">
        <f>AND(IF(metadata!H194="",FALSE,TRUE),exact(metadata!H194,"Mus musculus"))</f>
        <v>0</v>
      </c>
      <c r="AC194">
        <f>AND(IF(metadata!I194="",FALSE,TRUE),exact(metadata!I194,"10090"))</f>
        <v>0</v>
      </c>
      <c r="AD194">
        <f>OR(AND(IF(metadata!J194="",FALSE,TRUE),OR(exact(metadata!J194,"not applicable"),exact(metadata!J194,"missing: not collected"),exact(metadata!J194,"missing: not provided"),exact(metadata!J194,"missing: restricted access"))),AND(IF(metadata!J194="",FALSE,ISNUMBER(VALUE(metadata!J194))),metadata!J194&gt;0))</f>
        <v>0</v>
      </c>
      <c r="AE194">
        <f>AND(IF(metadata!K194="",FALSE,TRUE),exact(metadata!K194,"g"))</f>
        <v>0</v>
      </c>
    </row>
    <row r="195" spans="1:31">
      <c r="A195" s="5">
        <f>IF(B195=" "," ",HYPERLINK(CONCATENATE("#metadata!",ADDRESS(INDEX($Q$2:$Q$1001,MATCH(ROWS($O$2:O195),$O$2:$O$1001,0),0),1)),INDEX($T$2:$T$1001,MATCH(ROWS($O$2:O195),$O$2:$O$1001,0),0)))</f>
        <v>0</v>
      </c>
      <c r="B195" s="4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4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4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4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4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4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4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4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4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4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OR(AND(IF(metadata!C195="",FALSE,TRUE),OR(exact(metadata!C195,"not applicable"),exact(metadata!C195,"missing: not collected"),exact(metadata!C195,"missing: not provided"),exact(metadata!C195,"missing: restricted access"))),AND(IF(metadata!C195="",FALSE,ISNUMBER(VALUE(metadata!C195))),metadata!C195&gt;0))</f>
        <v>0</v>
      </c>
      <c r="X195">
        <f>AND(IF(metadata!D195="",FALSE,TRUE),exact(metadata!D195,"weeks"))</f>
        <v>0</v>
      </c>
      <c r="Y195">
        <f>AND(IF(metadata!E195="",FALSE,TRUE),exact(metadata!E195,"urban biome"))</f>
        <v>0</v>
      </c>
      <c r="Z195">
        <f>AND(IF(metadata!F195="",FALSE,TRUE),exact(metadata!F195,"animal-associated habitat"))</f>
        <v>0</v>
      </c>
      <c r="AA195">
        <f>AND(IF(metadata!G195="",FALSE,TRUE),exact(metadata!G195,"mouse"))</f>
        <v>0</v>
      </c>
      <c r="AB195">
        <f>AND(IF(metadata!H195="",FALSE,TRUE),exact(metadata!H195,"Mus musculus"))</f>
        <v>0</v>
      </c>
      <c r="AC195">
        <f>AND(IF(metadata!I195="",FALSE,TRUE),exact(metadata!I195,"10090"))</f>
        <v>0</v>
      </c>
      <c r="AD195">
        <f>OR(AND(IF(metadata!J195="",FALSE,TRUE),OR(exact(metadata!J195,"not applicable"),exact(metadata!J195,"missing: not collected"),exact(metadata!J195,"missing: not provided"),exact(metadata!J195,"missing: restricted access"))),AND(IF(metadata!J195="",FALSE,ISNUMBER(VALUE(metadata!J195))),metadata!J195&gt;0))</f>
        <v>0</v>
      </c>
      <c r="AE195">
        <f>AND(IF(metadata!K195="",FALSE,TRUE),exact(metadata!K195,"g"))</f>
        <v>0</v>
      </c>
    </row>
    <row r="196" spans="1:31">
      <c r="A196" s="5">
        <f>IF(B196=" "," ",HYPERLINK(CONCATENATE("#metadata!",ADDRESS(INDEX($Q$2:$Q$1001,MATCH(ROWS($O$2:O196),$O$2:$O$1001,0),0),1)),INDEX($T$2:$T$1001,MATCH(ROWS($O$2:O196),$O$2:$O$1001,0),0)))</f>
        <v>0</v>
      </c>
      <c r="B196" s="4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4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4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4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4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4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4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4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4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4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OR(AND(IF(metadata!C196="",FALSE,TRUE),OR(exact(metadata!C196,"not applicable"),exact(metadata!C196,"missing: not collected"),exact(metadata!C196,"missing: not provided"),exact(metadata!C196,"missing: restricted access"))),AND(IF(metadata!C196="",FALSE,ISNUMBER(VALUE(metadata!C196))),metadata!C196&gt;0))</f>
        <v>0</v>
      </c>
      <c r="X196">
        <f>AND(IF(metadata!D196="",FALSE,TRUE),exact(metadata!D196,"weeks"))</f>
        <v>0</v>
      </c>
      <c r="Y196">
        <f>AND(IF(metadata!E196="",FALSE,TRUE),exact(metadata!E196,"urban biome"))</f>
        <v>0</v>
      </c>
      <c r="Z196">
        <f>AND(IF(metadata!F196="",FALSE,TRUE),exact(metadata!F196,"animal-associated habitat"))</f>
        <v>0</v>
      </c>
      <c r="AA196">
        <f>AND(IF(metadata!G196="",FALSE,TRUE),exact(metadata!G196,"mouse"))</f>
        <v>0</v>
      </c>
      <c r="AB196">
        <f>AND(IF(metadata!H196="",FALSE,TRUE),exact(metadata!H196,"Mus musculus"))</f>
        <v>0</v>
      </c>
      <c r="AC196">
        <f>AND(IF(metadata!I196="",FALSE,TRUE),exact(metadata!I196,"10090"))</f>
        <v>0</v>
      </c>
      <c r="AD196">
        <f>OR(AND(IF(metadata!J196="",FALSE,TRUE),OR(exact(metadata!J196,"not applicable"),exact(metadata!J196,"missing: not collected"),exact(metadata!J196,"missing: not provided"),exact(metadata!J196,"missing: restricted access"))),AND(IF(metadata!J196="",FALSE,ISNUMBER(VALUE(metadata!J196))),metadata!J196&gt;0))</f>
        <v>0</v>
      </c>
      <c r="AE196">
        <f>AND(IF(metadata!K196="",FALSE,TRUE),exact(metadata!K196,"g"))</f>
        <v>0</v>
      </c>
    </row>
    <row r="197" spans="1:31">
      <c r="A197" s="5">
        <f>IF(B197=" "," ",HYPERLINK(CONCATENATE("#metadata!",ADDRESS(INDEX($Q$2:$Q$1001,MATCH(ROWS($O$2:O197),$O$2:$O$1001,0),0),1)),INDEX($T$2:$T$1001,MATCH(ROWS($O$2:O197),$O$2:$O$1001,0),0)))</f>
        <v>0</v>
      </c>
      <c r="B197" s="4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4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4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4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4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4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4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4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4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4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OR(AND(IF(metadata!C197="",FALSE,TRUE),OR(exact(metadata!C197,"not applicable"),exact(metadata!C197,"missing: not collected"),exact(metadata!C197,"missing: not provided"),exact(metadata!C197,"missing: restricted access"))),AND(IF(metadata!C197="",FALSE,ISNUMBER(VALUE(metadata!C197))),metadata!C197&gt;0))</f>
        <v>0</v>
      </c>
      <c r="X197">
        <f>AND(IF(metadata!D197="",FALSE,TRUE),exact(metadata!D197,"weeks"))</f>
        <v>0</v>
      </c>
      <c r="Y197">
        <f>AND(IF(metadata!E197="",FALSE,TRUE),exact(metadata!E197,"urban biome"))</f>
        <v>0</v>
      </c>
      <c r="Z197">
        <f>AND(IF(metadata!F197="",FALSE,TRUE),exact(metadata!F197,"animal-associated habitat"))</f>
        <v>0</v>
      </c>
      <c r="AA197">
        <f>AND(IF(metadata!G197="",FALSE,TRUE),exact(metadata!G197,"mouse"))</f>
        <v>0</v>
      </c>
      <c r="AB197">
        <f>AND(IF(metadata!H197="",FALSE,TRUE),exact(metadata!H197,"Mus musculus"))</f>
        <v>0</v>
      </c>
      <c r="AC197">
        <f>AND(IF(metadata!I197="",FALSE,TRUE),exact(metadata!I197,"10090"))</f>
        <v>0</v>
      </c>
      <c r="AD197">
        <f>OR(AND(IF(metadata!J197="",FALSE,TRUE),OR(exact(metadata!J197,"not applicable"),exact(metadata!J197,"missing: not collected"),exact(metadata!J197,"missing: not provided"),exact(metadata!J197,"missing: restricted access"))),AND(IF(metadata!J197="",FALSE,ISNUMBER(VALUE(metadata!J197))),metadata!J197&gt;0))</f>
        <v>0</v>
      </c>
      <c r="AE197">
        <f>AND(IF(metadata!K197="",FALSE,TRUE),exact(metadata!K197,"g"))</f>
        <v>0</v>
      </c>
    </row>
    <row r="198" spans="1:31">
      <c r="A198" s="5">
        <f>IF(B198=" "," ",HYPERLINK(CONCATENATE("#metadata!",ADDRESS(INDEX($Q$2:$Q$1001,MATCH(ROWS($O$2:O198),$O$2:$O$1001,0),0),1)),INDEX($T$2:$T$1001,MATCH(ROWS($O$2:O198),$O$2:$O$1001,0),0)))</f>
        <v>0</v>
      </c>
      <c r="B198" s="4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4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4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4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4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4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4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4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4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4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OR(AND(IF(metadata!C198="",FALSE,TRUE),OR(exact(metadata!C198,"not applicable"),exact(metadata!C198,"missing: not collected"),exact(metadata!C198,"missing: not provided"),exact(metadata!C198,"missing: restricted access"))),AND(IF(metadata!C198="",FALSE,ISNUMBER(VALUE(metadata!C198))),metadata!C198&gt;0))</f>
        <v>0</v>
      </c>
      <c r="X198">
        <f>AND(IF(metadata!D198="",FALSE,TRUE),exact(metadata!D198,"weeks"))</f>
        <v>0</v>
      </c>
      <c r="Y198">
        <f>AND(IF(metadata!E198="",FALSE,TRUE),exact(metadata!E198,"urban biome"))</f>
        <v>0</v>
      </c>
      <c r="Z198">
        <f>AND(IF(metadata!F198="",FALSE,TRUE),exact(metadata!F198,"animal-associated habitat"))</f>
        <v>0</v>
      </c>
      <c r="AA198">
        <f>AND(IF(metadata!G198="",FALSE,TRUE),exact(metadata!G198,"mouse"))</f>
        <v>0</v>
      </c>
      <c r="AB198">
        <f>AND(IF(metadata!H198="",FALSE,TRUE),exact(metadata!H198,"Mus musculus"))</f>
        <v>0</v>
      </c>
      <c r="AC198">
        <f>AND(IF(metadata!I198="",FALSE,TRUE),exact(metadata!I198,"10090"))</f>
        <v>0</v>
      </c>
      <c r="AD198">
        <f>OR(AND(IF(metadata!J198="",FALSE,TRUE),OR(exact(metadata!J198,"not applicable"),exact(metadata!J198,"missing: not collected"),exact(metadata!J198,"missing: not provided"),exact(metadata!J198,"missing: restricted access"))),AND(IF(metadata!J198="",FALSE,ISNUMBER(VALUE(metadata!J198))),metadata!J198&gt;0))</f>
        <v>0</v>
      </c>
      <c r="AE198">
        <f>AND(IF(metadata!K198="",FALSE,TRUE),exact(metadata!K198,"g"))</f>
        <v>0</v>
      </c>
    </row>
    <row r="199" spans="1:31">
      <c r="A199" s="5">
        <f>IF(B199=" "," ",HYPERLINK(CONCATENATE("#metadata!",ADDRESS(INDEX($Q$2:$Q$1001,MATCH(ROWS($O$2:O199),$O$2:$O$1001,0),0),1)),INDEX($T$2:$T$1001,MATCH(ROWS($O$2:O199),$O$2:$O$1001,0),0)))</f>
        <v>0</v>
      </c>
      <c r="B199" s="4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4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4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4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4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4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4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4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4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4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OR(AND(IF(metadata!C199="",FALSE,TRUE),OR(exact(metadata!C199,"not applicable"),exact(metadata!C199,"missing: not collected"),exact(metadata!C199,"missing: not provided"),exact(metadata!C199,"missing: restricted access"))),AND(IF(metadata!C199="",FALSE,ISNUMBER(VALUE(metadata!C199))),metadata!C199&gt;0))</f>
        <v>0</v>
      </c>
      <c r="X199">
        <f>AND(IF(metadata!D199="",FALSE,TRUE),exact(metadata!D199,"weeks"))</f>
        <v>0</v>
      </c>
      <c r="Y199">
        <f>AND(IF(metadata!E199="",FALSE,TRUE),exact(metadata!E199,"urban biome"))</f>
        <v>0</v>
      </c>
      <c r="Z199">
        <f>AND(IF(metadata!F199="",FALSE,TRUE),exact(metadata!F199,"animal-associated habitat"))</f>
        <v>0</v>
      </c>
      <c r="AA199">
        <f>AND(IF(metadata!G199="",FALSE,TRUE),exact(metadata!G199,"mouse"))</f>
        <v>0</v>
      </c>
      <c r="AB199">
        <f>AND(IF(metadata!H199="",FALSE,TRUE),exact(metadata!H199,"Mus musculus"))</f>
        <v>0</v>
      </c>
      <c r="AC199">
        <f>AND(IF(metadata!I199="",FALSE,TRUE),exact(metadata!I199,"10090"))</f>
        <v>0</v>
      </c>
      <c r="AD199">
        <f>OR(AND(IF(metadata!J199="",FALSE,TRUE),OR(exact(metadata!J199,"not applicable"),exact(metadata!J199,"missing: not collected"),exact(metadata!J199,"missing: not provided"),exact(metadata!J199,"missing: restricted access"))),AND(IF(metadata!J199="",FALSE,ISNUMBER(VALUE(metadata!J199))),metadata!J199&gt;0))</f>
        <v>0</v>
      </c>
      <c r="AE199">
        <f>AND(IF(metadata!K199="",FALSE,TRUE),exact(metadata!K199,"g"))</f>
        <v>0</v>
      </c>
    </row>
    <row r="200" spans="1:31">
      <c r="A200" s="5">
        <f>IF(B200=" "," ",HYPERLINK(CONCATENATE("#metadata!",ADDRESS(INDEX($Q$2:$Q$1001,MATCH(ROWS($O$2:O200),$O$2:$O$1001,0),0),1)),INDEX($T$2:$T$1001,MATCH(ROWS($O$2:O200),$O$2:$O$1001,0),0)))</f>
        <v>0</v>
      </c>
      <c r="B200" s="4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4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4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4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4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4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4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4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4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4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OR(AND(IF(metadata!C200="",FALSE,TRUE),OR(exact(metadata!C200,"not applicable"),exact(metadata!C200,"missing: not collected"),exact(metadata!C200,"missing: not provided"),exact(metadata!C200,"missing: restricted access"))),AND(IF(metadata!C200="",FALSE,ISNUMBER(VALUE(metadata!C200))),metadata!C200&gt;0))</f>
        <v>0</v>
      </c>
      <c r="X200">
        <f>AND(IF(metadata!D200="",FALSE,TRUE),exact(metadata!D200,"weeks"))</f>
        <v>0</v>
      </c>
      <c r="Y200">
        <f>AND(IF(metadata!E200="",FALSE,TRUE),exact(metadata!E200,"urban biome"))</f>
        <v>0</v>
      </c>
      <c r="Z200">
        <f>AND(IF(metadata!F200="",FALSE,TRUE),exact(metadata!F200,"animal-associated habitat"))</f>
        <v>0</v>
      </c>
      <c r="AA200">
        <f>AND(IF(metadata!G200="",FALSE,TRUE),exact(metadata!G200,"mouse"))</f>
        <v>0</v>
      </c>
      <c r="AB200">
        <f>AND(IF(metadata!H200="",FALSE,TRUE),exact(metadata!H200,"Mus musculus"))</f>
        <v>0</v>
      </c>
      <c r="AC200">
        <f>AND(IF(metadata!I200="",FALSE,TRUE),exact(metadata!I200,"10090"))</f>
        <v>0</v>
      </c>
      <c r="AD200">
        <f>OR(AND(IF(metadata!J200="",FALSE,TRUE),OR(exact(metadata!J200,"not applicable"),exact(metadata!J200,"missing: not collected"),exact(metadata!J200,"missing: not provided"),exact(metadata!J200,"missing: restricted access"))),AND(IF(metadata!J200="",FALSE,ISNUMBER(VALUE(metadata!J200))),metadata!J200&gt;0))</f>
        <v>0</v>
      </c>
      <c r="AE200">
        <f>AND(IF(metadata!K200="",FALSE,TRUE),exact(metadata!K200,"g"))</f>
        <v>0</v>
      </c>
    </row>
    <row r="201" spans="1:31">
      <c r="A201" s="5">
        <f>IF(B201=" "," ",HYPERLINK(CONCATENATE("#metadata!",ADDRESS(INDEX($Q$2:$Q$1001,MATCH(ROWS($O$2:O201),$O$2:$O$1001,0),0),1)),INDEX($T$2:$T$1001,MATCH(ROWS($O$2:O201),$O$2:$O$1001,0),0)))</f>
        <v>0</v>
      </c>
      <c r="B201" s="4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4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4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4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4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4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4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4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4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4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OR(AND(IF(metadata!C201="",FALSE,TRUE),OR(exact(metadata!C201,"not applicable"),exact(metadata!C201,"missing: not collected"),exact(metadata!C201,"missing: not provided"),exact(metadata!C201,"missing: restricted access"))),AND(IF(metadata!C201="",FALSE,ISNUMBER(VALUE(metadata!C201))),metadata!C201&gt;0))</f>
        <v>0</v>
      </c>
      <c r="X201">
        <f>AND(IF(metadata!D201="",FALSE,TRUE),exact(metadata!D201,"weeks"))</f>
        <v>0</v>
      </c>
      <c r="Y201">
        <f>AND(IF(metadata!E201="",FALSE,TRUE),exact(metadata!E201,"urban biome"))</f>
        <v>0</v>
      </c>
      <c r="Z201">
        <f>AND(IF(metadata!F201="",FALSE,TRUE),exact(metadata!F201,"animal-associated habitat"))</f>
        <v>0</v>
      </c>
      <c r="AA201">
        <f>AND(IF(metadata!G201="",FALSE,TRUE),exact(metadata!G201,"mouse"))</f>
        <v>0</v>
      </c>
      <c r="AB201">
        <f>AND(IF(metadata!H201="",FALSE,TRUE),exact(metadata!H201,"Mus musculus"))</f>
        <v>0</v>
      </c>
      <c r="AC201">
        <f>AND(IF(metadata!I201="",FALSE,TRUE),exact(metadata!I201,"10090"))</f>
        <v>0</v>
      </c>
      <c r="AD201">
        <f>OR(AND(IF(metadata!J201="",FALSE,TRUE),OR(exact(metadata!J201,"not applicable"),exact(metadata!J201,"missing: not collected"),exact(metadata!J201,"missing: not provided"),exact(metadata!J201,"missing: restricted access"))),AND(IF(metadata!J201="",FALSE,ISNUMBER(VALUE(metadata!J201))),metadata!J201&gt;0))</f>
        <v>0</v>
      </c>
      <c r="AE201">
        <f>AND(IF(metadata!K201="",FALSE,TRUE),exact(metadata!K201,"g"))</f>
        <v>0</v>
      </c>
    </row>
    <row r="202" spans="1:31">
      <c r="A202" s="5">
        <f>IF(B202=" "," ",HYPERLINK(CONCATENATE("#metadata!",ADDRESS(INDEX($Q$2:$Q$1001,MATCH(ROWS($O$2:O202),$O$2:$O$1001,0),0),1)),INDEX($T$2:$T$1001,MATCH(ROWS($O$2:O202),$O$2:$O$1001,0),0)))</f>
        <v>0</v>
      </c>
      <c r="B202" s="4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4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4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4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4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4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4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4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4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4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OR(AND(IF(metadata!C202="",FALSE,TRUE),OR(exact(metadata!C202,"not applicable"),exact(metadata!C202,"missing: not collected"),exact(metadata!C202,"missing: not provided"),exact(metadata!C202,"missing: restricted access"))),AND(IF(metadata!C202="",FALSE,ISNUMBER(VALUE(metadata!C202))),metadata!C202&gt;0))</f>
        <v>0</v>
      </c>
      <c r="X202">
        <f>AND(IF(metadata!D202="",FALSE,TRUE),exact(metadata!D202,"weeks"))</f>
        <v>0</v>
      </c>
      <c r="Y202">
        <f>AND(IF(metadata!E202="",FALSE,TRUE),exact(metadata!E202,"urban biome"))</f>
        <v>0</v>
      </c>
      <c r="Z202">
        <f>AND(IF(metadata!F202="",FALSE,TRUE),exact(metadata!F202,"animal-associated habitat"))</f>
        <v>0</v>
      </c>
      <c r="AA202">
        <f>AND(IF(metadata!G202="",FALSE,TRUE),exact(metadata!G202,"mouse"))</f>
        <v>0</v>
      </c>
      <c r="AB202">
        <f>AND(IF(metadata!H202="",FALSE,TRUE),exact(metadata!H202,"Mus musculus"))</f>
        <v>0</v>
      </c>
      <c r="AC202">
        <f>AND(IF(metadata!I202="",FALSE,TRUE),exact(metadata!I202,"10090"))</f>
        <v>0</v>
      </c>
      <c r="AD202">
        <f>OR(AND(IF(metadata!J202="",FALSE,TRUE),OR(exact(metadata!J202,"not applicable"),exact(metadata!J202,"missing: not collected"),exact(metadata!J202,"missing: not provided"),exact(metadata!J202,"missing: restricted access"))),AND(IF(metadata!J202="",FALSE,ISNUMBER(VALUE(metadata!J202))),metadata!J202&gt;0))</f>
        <v>0</v>
      </c>
      <c r="AE202">
        <f>AND(IF(metadata!K202="",FALSE,TRUE),exact(metadata!K202,"g"))</f>
        <v>0</v>
      </c>
    </row>
    <row r="203" spans="1:31">
      <c r="A203" s="5">
        <f>IF(B203=" "," ",HYPERLINK(CONCATENATE("#metadata!",ADDRESS(INDEX($Q$2:$Q$1001,MATCH(ROWS($O$2:O203),$O$2:$O$1001,0),0),1)),INDEX($T$2:$T$1001,MATCH(ROWS($O$2:O203),$O$2:$O$1001,0),0)))</f>
        <v>0</v>
      </c>
      <c r="B203" s="4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4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4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4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4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4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4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4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4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4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OR(AND(IF(metadata!C203="",FALSE,TRUE),OR(exact(metadata!C203,"not applicable"),exact(metadata!C203,"missing: not collected"),exact(metadata!C203,"missing: not provided"),exact(metadata!C203,"missing: restricted access"))),AND(IF(metadata!C203="",FALSE,ISNUMBER(VALUE(metadata!C203))),metadata!C203&gt;0))</f>
        <v>0</v>
      </c>
      <c r="X203">
        <f>AND(IF(metadata!D203="",FALSE,TRUE),exact(metadata!D203,"weeks"))</f>
        <v>0</v>
      </c>
      <c r="Y203">
        <f>AND(IF(metadata!E203="",FALSE,TRUE),exact(metadata!E203,"urban biome"))</f>
        <v>0</v>
      </c>
      <c r="Z203">
        <f>AND(IF(metadata!F203="",FALSE,TRUE),exact(metadata!F203,"animal-associated habitat"))</f>
        <v>0</v>
      </c>
      <c r="AA203">
        <f>AND(IF(metadata!G203="",FALSE,TRUE),exact(metadata!G203,"mouse"))</f>
        <v>0</v>
      </c>
      <c r="AB203">
        <f>AND(IF(metadata!H203="",FALSE,TRUE),exact(metadata!H203,"Mus musculus"))</f>
        <v>0</v>
      </c>
      <c r="AC203">
        <f>AND(IF(metadata!I203="",FALSE,TRUE),exact(metadata!I203,"10090"))</f>
        <v>0</v>
      </c>
      <c r="AD203">
        <f>OR(AND(IF(metadata!J203="",FALSE,TRUE),OR(exact(metadata!J203,"not applicable"),exact(metadata!J203,"missing: not collected"),exact(metadata!J203,"missing: not provided"),exact(metadata!J203,"missing: restricted access"))),AND(IF(metadata!J203="",FALSE,ISNUMBER(VALUE(metadata!J203))),metadata!J203&gt;0))</f>
        <v>0</v>
      </c>
      <c r="AE203">
        <f>AND(IF(metadata!K203="",FALSE,TRUE),exact(metadata!K203,"g"))</f>
        <v>0</v>
      </c>
    </row>
    <row r="204" spans="1:31">
      <c r="A204" s="5">
        <f>IF(B204=" "," ",HYPERLINK(CONCATENATE("#metadata!",ADDRESS(INDEX($Q$2:$Q$1001,MATCH(ROWS($O$2:O204),$O$2:$O$1001,0),0),1)),INDEX($T$2:$T$1001,MATCH(ROWS($O$2:O204),$O$2:$O$1001,0),0)))</f>
        <v>0</v>
      </c>
      <c r="B204" s="4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4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4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4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4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4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4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4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4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4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OR(AND(IF(metadata!C204="",FALSE,TRUE),OR(exact(metadata!C204,"not applicable"),exact(metadata!C204,"missing: not collected"),exact(metadata!C204,"missing: not provided"),exact(metadata!C204,"missing: restricted access"))),AND(IF(metadata!C204="",FALSE,ISNUMBER(VALUE(metadata!C204))),metadata!C204&gt;0))</f>
        <v>0</v>
      </c>
      <c r="X204">
        <f>AND(IF(metadata!D204="",FALSE,TRUE),exact(metadata!D204,"weeks"))</f>
        <v>0</v>
      </c>
      <c r="Y204">
        <f>AND(IF(metadata!E204="",FALSE,TRUE),exact(metadata!E204,"urban biome"))</f>
        <v>0</v>
      </c>
      <c r="Z204">
        <f>AND(IF(metadata!F204="",FALSE,TRUE),exact(metadata!F204,"animal-associated habitat"))</f>
        <v>0</v>
      </c>
      <c r="AA204">
        <f>AND(IF(metadata!G204="",FALSE,TRUE),exact(metadata!G204,"mouse"))</f>
        <v>0</v>
      </c>
      <c r="AB204">
        <f>AND(IF(metadata!H204="",FALSE,TRUE),exact(metadata!H204,"Mus musculus"))</f>
        <v>0</v>
      </c>
      <c r="AC204">
        <f>AND(IF(metadata!I204="",FALSE,TRUE),exact(metadata!I204,"10090"))</f>
        <v>0</v>
      </c>
      <c r="AD204">
        <f>OR(AND(IF(metadata!J204="",FALSE,TRUE),OR(exact(metadata!J204,"not applicable"),exact(metadata!J204,"missing: not collected"),exact(metadata!J204,"missing: not provided"),exact(metadata!J204,"missing: restricted access"))),AND(IF(metadata!J204="",FALSE,ISNUMBER(VALUE(metadata!J204))),metadata!J204&gt;0))</f>
        <v>0</v>
      </c>
      <c r="AE204">
        <f>AND(IF(metadata!K204="",FALSE,TRUE),exact(metadata!K204,"g"))</f>
        <v>0</v>
      </c>
    </row>
    <row r="205" spans="1:31">
      <c r="A205" s="5">
        <f>IF(B205=" "," ",HYPERLINK(CONCATENATE("#metadata!",ADDRESS(INDEX($Q$2:$Q$1001,MATCH(ROWS($O$2:O205),$O$2:$O$1001,0),0),1)),INDEX($T$2:$T$1001,MATCH(ROWS($O$2:O205),$O$2:$O$1001,0),0)))</f>
        <v>0</v>
      </c>
      <c r="B205" s="4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4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4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4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4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4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4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4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4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4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OR(AND(IF(metadata!C205="",FALSE,TRUE),OR(exact(metadata!C205,"not applicable"),exact(metadata!C205,"missing: not collected"),exact(metadata!C205,"missing: not provided"),exact(metadata!C205,"missing: restricted access"))),AND(IF(metadata!C205="",FALSE,ISNUMBER(VALUE(metadata!C205))),metadata!C205&gt;0))</f>
        <v>0</v>
      </c>
      <c r="X205">
        <f>AND(IF(metadata!D205="",FALSE,TRUE),exact(metadata!D205,"weeks"))</f>
        <v>0</v>
      </c>
      <c r="Y205">
        <f>AND(IF(metadata!E205="",FALSE,TRUE),exact(metadata!E205,"urban biome"))</f>
        <v>0</v>
      </c>
      <c r="Z205">
        <f>AND(IF(metadata!F205="",FALSE,TRUE),exact(metadata!F205,"animal-associated habitat"))</f>
        <v>0</v>
      </c>
      <c r="AA205">
        <f>AND(IF(metadata!G205="",FALSE,TRUE),exact(metadata!G205,"mouse"))</f>
        <v>0</v>
      </c>
      <c r="AB205">
        <f>AND(IF(metadata!H205="",FALSE,TRUE),exact(metadata!H205,"Mus musculus"))</f>
        <v>0</v>
      </c>
      <c r="AC205">
        <f>AND(IF(metadata!I205="",FALSE,TRUE),exact(metadata!I205,"10090"))</f>
        <v>0</v>
      </c>
      <c r="AD205">
        <f>OR(AND(IF(metadata!J205="",FALSE,TRUE),OR(exact(metadata!J205,"not applicable"),exact(metadata!J205,"missing: not collected"),exact(metadata!J205,"missing: not provided"),exact(metadata!J205,"missing: restricted access"))),AND(IF(metadata!J205="",FALSE,ISNUMBER(VALUE(metadata!J205))),metadata!J205&gt;0))</f>
        <v>0</v>
      </c>
      <c r="AE205">
        <f>AND(IF(metadata!K205="",FALSE,TRUE),exact(metadata!K205,"g"))</f>
        <v>0</v>
      </c>
    </row>
    <row r="206" spans="1:31">
      <c r="A206" s="5">
        <f>IF(B206=" "," ",HYPERLINK(CONCATENATE("#metadata!",ADDRESS(INDEX($Q$2:$Q$1001,MATCH(ROWS($O$2:O206),$O$2:$O$1001,0),0),1)),INDEX($T$2:$T$1001,MATCH(ROWS($O$2:O206),$O$2:$O$1001,0),0)))</f>
        <v>0</v>
      </c>
      <c r="B206" s="4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4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4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4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4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4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4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4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4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4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OR(AND(IF(metadata!C206="",FALSE,TRUE),OR(exact(metadata!C206,"not applicable"),exact(metadata!C206,"missing: not collected"),exact(metadata!C206,"missing: not provided"),exact(metadata!C206,"missing: restricted access"))),AND(IF(metadata!C206="",FALSE,ISNUMBER(VALUE(metadata!C206))),metadata!C206&gt;0))</f>
        <v>0</v>
      </c>
      <c r="X206">
        <f>AND(IF(metadata!D206="",FALSE,TRUE),exact(metadata!D206,"weeks"))</f>
        <v>0</v>
      </c>
      <c r="Y206">
        <f>AND(IF(metadata!E206="",FALSE,TRUE),exact(metadata!E206,"urban biome"))</f>
        <v>0</v>
      </c>
      <c r="Z206">
        <f>AND(IF(metadata!F206="",FALSE,TRUE),exact(metadata!F206,"animal-associated habitat"))</f>
        <v>0</v>
      </c>
      <c r="AA206">
        <f>AND(IF(metadata!G206="",FALSE,TRUE),exact(metadata!G206,"mouse"))</f>
        <v>0</v>
      </c>
      <c r="AB206">
        <f>AND(IF(metadata!H206="",FALSE,TRUE),exact(metadata!H206,"Mus musculus"))</f>
        <v>0</v>
      </c>
      <c r="AC206">
        <f>AND(IF(metadata!I206="",FALSE,TRUE),exact(metadata!I206,"10090"))</f>
        <v>0</v>
      </c>
      <c r="AD206">
        <f>OR(AND(IF(metadata!J206="",FALSE,TRUE),OR(exact(metadata!J206,"not applicable"),exact(metadata!J206,"missing: not collected"),exact(metadata!J206,"missing: not provided"),exact(metadata!J206,"missing: restricted access"))),AND(IF(metadata!J206="",FALSE,ISNUMBER(VALUE(metadata!J206))),metadata!J206&gt;0))</f>
        <v>0</v>
      </c>
      <c r="AE206">
        <f>AND(IF(metadata!K206="",FALSE,TRUE),exact(metadata!K206,"g"))</f>
        <v>0</v>
      </c>
    </row>
    <row r="207" spans="1:31">
      <c r="A207" s="5">
        <f>IF(B207=" "," ",HYPERLINK(CONCATENATE("#metadata!",ADDRESS(INDEX($Q$2:$Q$1001,MATCH(ROWS($O$2:O207),$O$2:$O$1001,0),0),1)),INDEX($T$2:$T$1001,MATCH(ROWS($O$2:O207),$O$2:$O$1001,0),0)))</f>
        <v>0</v>
      </c>
      <c r="B207" s="4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4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4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4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4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4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4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4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4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4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OR(AND(IF(metadata!C207="",FALSE,TRUE),OR(exact(metadata!C207,"not applicable"),exact(metadata!C207,"missing: not collected"),exact(metadata!C207,"missing: not provided"),exact(metadata!C207,"missing: restricted access"))),AND(IF(metadata!C207="",FALSE,ISNUMBER(VALUE(metadata!C207))),metadata!C207&gt;0))</f>
        <v>0</v>
      </c>
      <c r="X207">
        <f>AND(IF(metadata!D207="",FALSE,TRUE),exact(metadata!D207,"weeks"))</f>
        <v>0</v>
      </c>
      <c r="Y207">
        <f>AND(IF(metadata!E207="",FALSE,TRUE),exact(metadata!E207,"urban biome"))</f>
        <v>0</v>
      </c>
      <c r="Z207">
        <f>AND(IF(metadata!F207="",FALSE,TRUE),exact(metadata!F207,"animal-associated habitat"))</f>
        <v>0</v>
      </c>
      <c r="AA207">
        <f>AND(IF(metadata!G207="",FALSE,TRUE),exact(metadata!G207,"mouse"))</f>
        <v>0</v>
      </c>
      <c r="AB207">
        <f>AND(IF(metadata!H207="",FALSE,TRUE),exact(metadata!H207,"Mus musculus"))</f>
        <v>0</v>
      </c>
      <c r="AC207">
        <f>AND(IF(metadata!I207="",FALSE,TRUE),exact(metadata!I207,"10090"))</f>
        <v>0</v>
      </c>
      <c r="AD207">
        <f>OR(AND(IF(metadata!J207="",FALSE,TRUE),OR(exact(metadata!J207,"not applicable"),exact(metadata!J207,"missing: not collected"),exact(metadata!J207,"missing: not provided"),exact(metadata!J207,"missing: restricted access"))),AND(IF(metadata!J207="",FALSE,ISNUMBER(VALUE(metadata!J207))),metadata!J207&gt;0))</f>
        <v>0</v>
      </c>
      <c r="AE207">
        <f>AND(IF(metadata!K207="",FALSE,TRUE),exact(metadata!K207,"g"))</f>
        <v>0</v>
      </c>
    </row>
    <row r="208" spans="1:31">
      <c r="A208" s="5">
        <f>IF(B208=" "," ",HYPERLINK(CONCATENATE("#metadata!",ADDRESS(INDEX($Q$2:$Q$1001,MATCH(ROWS($O$2:O208),$O$2:$O$1001,0),0),1)),INDEX($T$2:$T$1001,MATCH(ROWS($O$2:O208),$O$2:$O$1001,0),0)))</f>
        <v>0</v>
      </c>
      <c r="B208" s="4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4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4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4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4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4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4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4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4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4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OR(AND(IF(metadata!C208="",FALSE,TRUE),OR(exact(metadata!C208,"not applicable"),exact(metadata!C208,"missing: not collected"),exact(metadata!C208,"missing: not provided"),exact(metadata!C208,"missing: restricted access"))),AND(IF(metadata!C208="",FALSE,ISNUMBER(VALUE(metadata!C208))),metadata!C208&gt;0))</f>
        <v>0</v>
      </c>
      <c r="X208">
        <f>AND(IF(metadata!D208="",FALSE,TRUE),exact(metadata!D208,"weeks"))</f>
        <v>0</v>
      </c>
      <c r="Y208">
        <f>AND(IF(metadata!E208="",FALSE,TRUE),exact(metadata!E208,"urban biome"))</f>
        <v>0</v>
      </c>
      <c r="Z208">
        <f>AND(IF(metadata!F208="",FALSE,TRUE),exact(metadata!F208,"animal-associated habitat"))</f>
        <v>0</v>
      </c>
      <c r="AA208">
        <f>AND(IF(metadata!G208="",FALSE,TRUE),exact(metadata!G208,"mouse"))</f>
        <v>0</v>
      </c>
      <c r="AB208">
        <f>AND(IF(metadata!H208="",FALSE,TRUE),exact(metadata!H208,"Mus musculus"))</f>
        <v>0</v>
      </c>
      <c r="AC208">
        <f>AND(IF(metadata!I208="",FALSE,TRUE),exact(metadata!I208,"10090"))</f>
        <v>0</v>
      </c>
      <c r="AD208">
        <f>OR(AND(IF(metadata!J208="",FALSE,TRUE),OR(exact(metadata!J208,"not applicable"),exact(metadata!J208,"missing: not collected"),exact(metadata!J208,"missing: not provided"),exact(metadata!J208,"missing: restricted access"))),AND(IF(metadata!J208="",FALSE,ISNUMBER(VALUE(metadata!J208))),metadata!J208&gt;0))</f>
        <v>0</v>
      </c>
      <c r="AE208">
        <f>AND(IF(metadata!K208="",FALSE,TRUE),exact(metadata!K208,"g"))</f>
        <v>0</v>
      </c>
    </row>
    <row r="209" spans="1:31">
      <c r="A209" s="5">
        <f>IF(B209=" "," ",HYPERLINK(CONCATENATE("#metadata!",ADDRESS(INDEX($Q$2:$Q$1001,MATCH(ROWS($O$2:O209),$O$2:$O$1001,0),0),1)),INDEX($T$2:$T$1001,MATCH(ROWS($O$2:O209),$O$2:$O$1001,0),0)))</f>
        <v>0</v>
      </c>
      <c r="B209" s="4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4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4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4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4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4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4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4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4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4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OR(AND(IF(metadata!C209="",FALSE,TRUE),OR(exact(metadata!C209,"not applicable"),exact(metadata!C209,"missing: not collected"),exact(metadata!C209,"missing: not provided"),exact(metadata!C209,"missing: restricted access"))),AND(IF(metadata!C209="",FALSE,ISNUMBER(VALUE(metadata!C209))),metadata!C209&gt;0))</f>
        <v>0</v>
      </c>
      <c r="X209">
        <f>AND(IF(metadata!D209="",FALSE,TRUE),exact(metadata!D209,"weeks"))</f>
        <v>0</v>
      </c>
      <c r="Y209">
        <f>AND(IF(metadata!E209="",FALSE,TRUE),exact(metadata!E209,"urban biome"))</f>
        <v>0</v>
      </c>
      <c r="Z209">
        <f>AND(IF(metadata!F209="",FALSE,TRUE),exact(metadata!F209,"animal-associated habitat"))</f>
        <v>0</v>
      </c>
      <c r="AA209">
        <f>AND(IF(metadata!G209="",FALSE,TRUE),exact(metadata!G209,"mouse"))</f>
        <v>0</v>
      </c>
      <c r="AB209">
        <f>AND(IF(metadata!H209="",FALSE,TRUE),exact(metadata!H209,"Mus musculus"))</f>
        <v>0</v>
      </c>
      <c r="AC209">
        <f>AND(IF(metadata!I209="",FALSE,TRUE),exact(metadata!I209,"10090"))</f>
        <v>0</v>
      </c>
      <c r="AD209">
        <f>OR(AND(IF(metadata!J209="",FALSE,TRUE),OR(exact(metadata!J209,"not applicable"),exact(metadata!J209,"missing: not collected"),exact(metadata!J209,"missing: not provided"),exact(metadata!J209,"missing: restricted access"))),AND(IF(metadata!J209="",FALSE,ISNUMBER(VALUE(metadata!J209))),metadata!J209&gt;0))</f>
        <v>0</v>
      </c>
      <c r="AE209">
        <f>AND(IF(metadata!K209="",FALSE,TRUE),exact(metadata!K209,"g"))</f>
        <v>0</v>
      </c>
    </row>
    <row r="210" spans="1:31">
      <c r="A210" s="5">
        <f>IF(B210=" "," ",HYPERLINK(CONCATENATE("#metadata!",ADDRESS(INDEX($Q$2:$Q$1001,MATCH(ROWS($O$2:O210),$O$2:$O$1001,0),0),1)),INDEX($T$2:$T$1001,MATCH(ROWS($O$2:O210),$O$2:$O$1001,0),0)))</f>
        <v>0</v>
      </c>
      <c r="B210" s="4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4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4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4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4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4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4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4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4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4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OR(AND(IF(metadata!C210="",FALSE,TRUE),OR(exact(metadata!C210,"not applicable"),exact(metadata!C210,"missing: not collected"),exact(metadata!C210,"missing: not provided"),exact(metadata!C210,"missing: restricted access"))),AND(IF(metadata!C210="",FALSE,ISNUMBER(VALUE(metadata!C210))),metadata!C210&gt;0))</f>
        <v>0</v>
      </c>
      <c r="X210">
        <f>AND(IF(metadata!D210="",FALSE,TRUE),exact(metadata!D210,"weeks"))</f>
        <v>0</v>
      </c>
      <c r="Y210">
        <f>AND(IF(metadata!E210="",FALSE,TRUE),exact(metadata!E210,"urban biome"))</f>
        <v>0</v>
      </c>
      <c r="Z210">
        <f>AND(IF(metadata!F210="",FALSE,TRUE),exact(metadata!F210,"animal-associated habitat"))</f>
        <v>0</v>
      </c>
      <c r="AA210">
        <f>AND(IF(metadata!G210="",FALSE,TRUE),exact(metadata!G210,"mouse"))</f>
        <v>0</v>
      </c>
      <c r="AB210">
        <f>AND(IF(metadata!H210="",FALSE,TRUE),exact(metadata!H210,"Mus musculus"))</f>
        <v>0</v>
      </c>
      <c r="AC210">
        <f>AND(IF(metadata!I210="",FALSE,TRUE),exact(metadata!I210,"10090"))</f>
        <v>0</v>
      </c>
      <c r="AD210">
        <f>OR(AND(IF(metadata!J210="",FALSE,TRUE),OR(exact(metadata!J210,"not applicable"),exact(metadata!J210,"missing: not collected"),exact(metadata!J210,"missing: not provided"),exact(metadata!J210,"missing: restricted access"))),AND(IF(metadata!J210="",FALSE,ISNUMBER(VALUE(metadata!J210))),metadata!J210&gt;0))</f>
        <v>0</v>
      </c>
      <c r="AE210">
        <f>AND(IF(metadata!K210="",FALSE,TRUE),exact(metadata!K210,"g"))</f>
        <v>0</v>
      </c>
    </row>
    <row r="211" spans="1:31">
      <c r="A211" s="5">
        <f>IF(B211=" "," ",HYPERLINK(CONCATENATE("#metadata!",ADDRESS(INDEX($Q$2:$Q$1001,MATCH(ROWS($O$2:O211),$O$2:$O$1001,0),0),1)),INDEX($T$2:$T$1001,MATCH(ROWS($O$2:O211),$O$2:$O$1001,0),0)))</f>
        <v>0</v>
      </c>
      <c r="B211" s="4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4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4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4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4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4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4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4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4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4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OR(AND(IF(metadata!C211="",FALSE,TRUE),OR(exact(metadata!C211,"not applicable"),exact(metadata!C211,"missing: not collected"),exact(metadata!C211,"missing: not provided"),exact(metadata!C211,"missing: restricted access"))),AND(IF(metadata!C211="",FALSE,ISNUMBER(VALUE(metadata!C211))),metadata!C211&gt;0))</f>
        <v>0</v>
      </c>
      <c r="X211">
        <f>AND(IF(metadata!D211="",FALSE,TRUE),exact(metadata!D211,"weeks"))</f>
        <v>0</v>
      </c>
      <c r="Y211">
        <f>AND(IF(metadata!E211="",FALSE,TRUE),exact(metadata!E211,"urban biome"))</f>
        <v>0</v>
      </c>
      <c r="Z211">
        <f>AND(IF(metadata!F211="",FALSE,TRUE),exact(metadata!F211,"animal-associated habitat"))</f>
        <v>0</v>
      </c>
      <c r="AA211">
        <f>AND(IF(metadata!G211="",FALSE,TRUE),exact(metadata!G211,"mouse"))</f>
        <v>0</v>
      </c>
      <c r="AB211">
        <f>AND(IF(metadata!H211="",FALSE,TRUE),exact(metadata!H211,"Mus musculus"))</f>
        <v>0</v>
      </c>
      <c r="AC211">
        <f>AND(IF(metadata!I211="",FALSE,TRUE),exact(metadata!I211,"10090"))</f>
        <v>0</v>
      </c>
      <c r="AD211">
        <f>OR(AND(IF(metadata!J211="",FALSE,TRUE),OR(exact(metadata!J211,"not applicable"),exact(metadata!J211,"missing: not collected"),exact(metadata!J211,"missing: not provided"),exact(metadata!J211,"missing: restricted access"))),AND(IF(metadata!J211="",FALSE,ISNUMBER(VALUE(metadata!J211))),metadata!J211&gt;0))</f>
        <v>0</v>
      </c>
      <c r="AE211">
        <f>AND(IF(metadata!K211="",FALSE,TRUE),exact(metadata!K211,"g"))</f>
        <v>0</v>
      </c>
    </row>
    <row r="212" spans="1:31">
      <c r="A212" s="5">
        <f>IF(B212=" "," ",HYPERLINK(CONCATENATE("#metadata!",ADDRESS(INDEX($Q$2:$Q$1001,MATCH(ROWS($O$2:O212),$O$2:$O$1001,0),0),1)),INDEX($T$2:$T$1001,MATCH(ROWS($O$2:O212),$O$2:$O$1001,0),0)))</f>
        <v>0</v>
      </c>
      <c r="B212" s="4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4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4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4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4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4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4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4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4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4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OR(AND(IF(metadata!C212="",FALSE,TRUE),OR(exact(metadata!C212,"not applicable"),exact(metadata!C212,"missing: not collected"),exact(metadata!C212,"missing: not provided"),exact(metadata!C212,"missing: restricted access"))),AND(IF(metadata!C212="",FALSE,ISNUMBER(VALUE(metadata!C212))),metadata!C212&gt;0))</f>
        <v>0</v>
      </c>
      <c r="X212">
        <f>AND(IF(metadata!D212="",FALSE,TRUE),exact(metadata!D212,"weeks"))</f>
        <v>0</v>
      </c>
      <c r="Y212">
        <f>AND(IF(metadata!E212="",FALSE,TRUE),exact(metadata!E212,"urban biome"))</f>
        <v>0</v>
      </c>
      <c r="Z212">
        <f>AND(IF(metadata!F212="",FALSE,TRUE),exact(metadata!F212,"animal-associated habitat"))</f>
        <v>0</v>
      </c>
      <c r="AA212">
        <f>AND(IF(metadata!G212="",FALSE,TRUE),exact(metadata!G212,"mouse"))</f>
        <v>0</v>
      </c>
      <c r="AB212">
        <f>AND(IF(metadata!H212="",FALSE,TRUE),exact(metadata!H212,"Mus musculus"))</f>
        <v>0</v>
      </c>
      <c r="AC212">
        <f>AND(IF(metadata!I212="",FALSE,TRUE),exact(metadata!I212,"10090"))</f>
        <v>0</v>
      </c>
      <c r="AD212">
        <f>OR(AND(IF(metadata!J212="",FALSE,TRUE),OR(exact(metadata!J212,"not applicable"),exact(metadata!J212,"missing: not collected"),exact(metadata!J212,"missing: not provided"),exact(metadata!J212,"missing: restricted access"))),AND(IF(metadata!J212="",FALSE,ISNUMBER(VALUE(metadata!J212))),metadata!J212&gt;0))</f>
        <v>0</v>
      </c>
      <c r="AE212">
        <f>AND(IF(metadata!K212="",FALSE,TRUE),exact(metadata!K212,"g"))</f>
        <v>0</v>
      </c>
    </row>
    <row r="213" spans="1:31">
      <c r="A213" s="5">
        <f>IF(B213=" "," ",HYPERLINK(CONCATENATE("#metadata!",ADDRESS(INDEX($Q$2:$Q$1001,MATCH(ROWS($O$2:O213),$O$2:$O$1001,0),0),1)),INDEX($T$2:$T$1001,MATCH(ROWS($O$2:O213),$O$2:$O$1001,0),0)))</f>
        <v>0</v>
      </c>
      <c r="B213" s="4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4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4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4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4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4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4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4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4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4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OR(AND(IF(metadata!C213="",FALSE,TRUE),OR(exact(metadata!C213,"not applicable"),exact(metadata!C213,"missing: not collected"),exact(metadata!C213,"missing: not provided"),exact(metadata!C213,"missing: restricted access"))),AND(IF(metadata!C213="",FALSE,ISNUMBER(VALUE(metadata!C213))),metadata!C213&gt;0))</f>
        <v>0</v>
      </c>
      <c r="X213">
        <f>AND(IF(metadata!D213="",FALSE,TRUE),exact(metadata!D213,"weeks"))</f>
        <v>0</v>
      </c>
      <c r="Y213">
        <f>AND(IF(metadata!E213="",FALSE,TRUE),exact(metadata!E213,"urban biome"))</f>
        <v>0</v>
      </c>
      <c r="Z213">
        <f>AND(IF(metadata!F213="",FALSE,TRUE),exact(metadata!F213,"animal-associated habitat"))</f>
        <v>0</v>
      </c>
      <c r="AA213">
        <f>AND(IF(metadata!G213="",FALSE,TRUE),exact(metadata!G213,"mouse"))</f>
        <v>0</v>
      </c>
      <c r="AB213">
        <f>AND(IF(metadata!H213="",FALSE,TRUE),exact(metadata!H213,"Mus musculus"))</f>
        <v>0</v>
      </c>
      <c r="AC213">
        <f>AND(IF(metadata!I213="",FALSE,TRUE),exact(metadata!I213,"10090"))</f>
        <v>0</v>
      </c>
      <c r="AD213">
        <f>OR(AND(IF(metadata!J213="",FALSE,TRUE),OR(exact(metadata!J213,"not applicable"),exact(metadata!J213,"missing: not collected"),exact(metadata!J213,"missing: not provided"),exact(metadata!J213,"missing: restricted access"))),AND(IF(metadata!J213="",FALSE,ISNUMBER(VALUE(metadata!J213))),metadata!J213&gt;0))</f>
        <v>0</v>
      </c>
      <c r="AE213">
        <f>AND(IF(metadata!K213="",FALSE,TRUE),exact(metadata!K213,"g"))</f>
        <v>0</v>
      </c>
    </row>
    <row r="214" spans="1:31">
      <c r="A214" s="5">
        <f>IF(B214=" "," ",HYPERLINK(CONCATENATE("#metadata!",ADDRESS(INDEX($Q$2:$Q$1001,MATCH(ROWS($O$2:O214),$O$2:$O$1001,0),0),1)),INDEX($T$2:$T$1001,MATCH(ROWS($O$2:O214),$O$2:$O$1001,0),0)))</f>
        <v>0</v>
      </c>
      <c r="B214" s="4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4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4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4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4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4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4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4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4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4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OR(AND(IF(metadata!C214="",FALSE,TRUE),OR(exact(metadata!C214,"not applicable"),exact(metadata!C214,"missing: not collected"),exact(metadata!C214,"missing: not provided"),exact(metadata!C214,"missing: restricted access"))),AND(IF(metadata!C214="",FALSE,ISNUMBER(VALUE(metadata!C214))),metadata!C214&gt;0))</f>
        <v>0</v>
      </c>
      <c r="X214">
        <f>AND(IF(metadata!D214="",FALSE,TRUE),exact(metadata!D214,"weeks"))</f>
        <v>0</v>
      </c>
      <c r="Y214">
        <f>AND(IF(metadata!E214="",FALSE,TRUE),exact(metadata!E214,"urban biome"))</f>
        <v>0</v>
      </c>
      <c r="Z214">
        <f>AND(IF(metadata!F214="",FALSE,TRUE),exact(metadata!F214,"animal-associated habitat"))</f>
        <v>0</v>
      </c>
      <c r="AA214">
        <f>AND(IF(metadata!G214="",FALSE,TRUE),exact(metadata!G214,"mouse"))</f>
        <v>0</v>
      </c>
      <c r="AB214">
        <f>AND(IF(metadata!H214="",FALSE,TRUE),exact(metadata!H214,"Mus musculus"))</f>
        <v>0</v>
      </c>
      <c r="AC214">
        <f>AND(IF(metadata!I214="",FALSE,TRUE),exact(metadata!I214,"10090"))</f>
        <v>0</v>
      </c>
      <c r="AD214">
        <f>OR(AND(IF(metadata!J214="",FALSE,TRUE),OR(exact(metadata!J214,"not applicable"),exact(metadata!J214,"missing: not collected"),exact(metadata!J214,"missing: not provided"),exact(metadata!J214,"missing: restricted access"))),AND(IF(metadata!J214="",FALSE,ISNUMBER(VALUE(metadata!J214))),metadata!J214&gt;0))</f>
        <v>0</v>
      </c>
      <c r="AE214">
        <f>AND(IF(metadata!K214="",FALSE,TRUE),exact(metadata!K214,"g"))</f>
        <v>0</v>
      </c>
    </row>
    <row r="215" spans="1:31">
      <c r="A215" s="5">
        <f>IF(B215=" "," ",HYPERLINK(CONCATENATE("#metadata!",ADDRESS(INDEX($Q$2:$Q$1001,MATCH(ROWS($O$2:O215),$O$2:$O$1001,0),0),1)),INDEX($T$2:$T$1001,MATCH(ROWS($O$2:O215),$O$2:$O$1001,0),0)))</f>
        <v>0</v>
      </c>
      <c r="B215" s="4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4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4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4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4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4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4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4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4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4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OR(AND(IF(metadata!C215="",FALSE,TRUE),OR(exact(metadata!C215,"not applicable"),exact(metadata!C215,"missing: not collected"),exact(metadata!C215,"missing: not provided"),exact(metadata!C215,"missing: restricted access"))),AND(IF(metadata!C215="",FALSE,ISNUMBER(VALUE(metadata!C215))),metadata!C215&gt;0))</f>
        <v>0</v>
      </c>
      <c r="X215">
        <f>AND(IF(metadata!D215="",FALSE,TRUE),exact(metadata!D215,"weeks"))</f>
        <v>0</v>
      </c>
      <c r="Y215">
        <f>AND(IF(metadata!E215="",FALSE,TRUE),exact(metadata!E215,"urban biome"))</f>
        <v>0</v>
      </c>
      <c r="Z215">
        <f>AND(IF(metadata!F215="",FALSE,TRUE),exact(metadata!F215,"animal-associated habitat"))</f>
        <v>0</v>
      </c>
      <c r="AA215">
        <f>AND(IF(metadata!G215="",FALSE,TRUE),exact(metadata!G215,"mouse"))</f>
        <v>0</v>
      </c>
      <c r="AB215">
        <f>AND(IF(metadata!H215="",FALSE,TRUE),exact(metadata!H215,"Mus musculus"))</f>
        <v>0</v>
      </c>
      <c r="AC215">
        <f>AND(IF(metadata!I215="",FALSE,TRUE),exact(metadata!I215,"10090"))</f>
        <v>0</v>
      </c>
      <c r="AD215">
        <f>OR(AND(IF(metadata!J215="",FALSE,TRUE),OR(exact(metadata!J215,"not applicable"),exact(metadata!J215,"missing: not collected"),exact(metadata!J215,"missing: not provided"),exact(metadata!J215,"missing: restricted access"))),AND(IF(metadata!J215="",FALSE,ISNUMBER(VALUE(metadata!J215))),metadata!J215&gt;0))</f>
        <v>0</v>
      </c>
      <c r="AE215">
        <f>AND(IF(metadata!K215="",FALSE,TRUE),exact(metadata!K215,"g"))</f>
        <v>0</v>
      </c>
    </row>
    <row r="216" spans="1:31">
      <c r="A216" s="5">
        <f>IF(B216=" "," ",HYPERLINK(CONCATENATE("#metadata!",ADDRESS(INDEX($Q$2:$Q$1001,MATCH(ROWS($O$2:O216),$O$2:$O$1001,0),0),1)),INDEX($T$2:$T$1001,MATCH(ROWS($O$2:O216),$O$2:$O$1001,0),0)))</f>
        <v>0</v>
      </c>
      <c r="B216" s="4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4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4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4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4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4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4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4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4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4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OR(AND(IF(metadata!C216="",FALSE,TRUE),OR(exact(metadata!C216,"not applicable"),exact(metadata!C216,"missing: not collected"),exact(metadata!C216,"missing: not provided"),exact(metadata!C216,"missing: restricted access"))),AND(IF(metadata!C216="",FALSE,ISNUMBER(VALUE(metadata!C216))),metadata!C216&gt;0))</f>
        <v>0</v>
      </c>
      <c r="X216">
        <f>AND(IF(metadata!D216="",FALSE,TRUE),exact(metadata!D216,"weeks"))</f>
        <v>0</v>
      </c>
      <c r="Y216">
        <f>AND(IF(metadata!E216="",FALSE,TRUE),exact(metadata!E216,"urban biome"))</f>
        <v>0</v>
      </c>
      <c r="Z216">
        <f>AND(IF(metadata!F216="",FALSE,TRUE),exact(metadata!F216,"animal-associated habitat"))</f>
        <v>0</v>
      </c>
      <c r="AA216">
        <f>AND(IF(metadata!G216="",FALSE,TRUE),exact(metadata!G216,"mouse"))</f>
        <v>0</v>
      </c>
      <c r="AB216">
        <f>AND(IF(metadata!H216="",FALSE,TRUE),exact(metadata!H216,"Mus musculus"))</f>
        <v>0</v>
      </c>
      <c r="AC216">
        <f>AND(IF(metadata!I216="",FALSE,TRUE),exact(metadata!I216,"10090"))</f>
        <v>0</v>
      </c>
      <c r="AD216">
        <f>OR(AND(IF(metadata!J216="",FALSE,TRUE),OR(exact(metadata!J216,"not applicable"),exact(metadata!J216,"missing: not collected"),exact(metadata!J216,"missing: not provided"),exact(metadata!J216,"missing: restricted access"))),AND(IF(metadata!J216="",FALSE,ISNUMBER(VALUE(metadata!J216))),metadata!J216&gt;0))</f>
        <v>0</v>
      </c>
      <c r="AE216">
        <f>AND(IF(metadata!K216="",FALSE,TRUE),exact(metadata!K216,"g"))</f>
        <v>0</v>
      </c>
    </row>
    <row r="217" spans="1:31">
      <c r="A217" s="5">
        <f>IF(B217=" "," ",HYPERLINK(CONCATENATE("#metadata!",ADDRESS(INDEX($Q$2:$Q$1001,MATCH(ROWS($O$2:O217),$O$2:$O$1001,0),0),1)),INDEX($T$2:$T$1001,MATCH(ROWS($O$2:O217),$O$2:$O$1001,0),0)))</f>
        <v>0</v>
      </c>
      <c r="B217" s="4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4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4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4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4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4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4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4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4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4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OR(AND(IF(metadata!C217="",FALSE,TRUE),OR(exact(metadata!C217,"not applicable"),exact(metadata!C217,"missing: not collected"),exact(metadata!C217,"missing: not provided"),exact(metadata!C217,"missing: restricted access"))),AND(IF(metadata!C217="",FALSE,ISNUMBER(VALUE(metadata!C217))),metadata!C217&gt;0))</f>
        <v>0</v>
      </c>
      <c r="X217">
        <f>AND(IF(metadata!D217="",FALSE,TRUE),exact(metadata!D217,"weeks"))</f>
        <v>0</v>
      </c>
      <c r="Y217">
        <f>AND(IF(metadata!E217="",FALSE,TRUE),exact(metadata!E217,"urban biome"))</f>
        <v>0</v>
      </c>
      <c r="Z217">
        <f>AND(IF(metadata!F217="",FALSE,TRUE),exact(metadata!F217,"animal-associated habitat"))</f>
        <v>0</v>
      </c>
      <c r="AA217">
        <f>AND(IF(metadata!G217="",FALSE,TRUE),exact(metadata!G217,"mouse"))</f>
        <v>0</v>
      </c>
      <c r="AB217">
        <f>AND(IF(metadata!H217="",FALSE,TRUE),exact(metadata!H217,"Mus musculus"))</f>
        <v>0</v>
      </c>
      <c r="AC217">
        <f>AND(IF(metadata!I217="",FALSE,TRUE),exact(metadata!I217,"10090"))</f>
        <v>0</v>
      </c>
      <c r="AD217">
        <f>OR(AND(IF(metadata!J217="",FALSE,TRUE),OR(exact(metadata!J217,"not applicable"),exact(metadata!J217,"missing: not collected"),exact(metadata!J217,"missing: not provided"),exact(metadata!J217,"missing: restricted access"))),AND(IF(metadata!J217="",FALSE,ISNUMBER(VALUE(metadata!J217))),metadata!J217&gt;0))</f>
        <v>0</v>
      </c>
      <c r="AE217">
        <f>AND(IF(metadata!K217="",FALSE,TRUE),exact(metadata!K217,"g"))</f>
        <v>0</v>
      </c>
    </row>
    <row r="218" spans="1:31">
      <c r="A218" s="5">
        <f>IF(B218=" "," ",HYPERLINK(CONCATENATE("#metadata!",ADDRESS(INDEX($Q$2:$Q$1001,MATCH(ROWS($O$2:O218),$O$2:$O$1001,0),0),1)),INDEX($T$2:$T$1001,MATCH(ROWS($O$2:O218),$O$2:$O$1001,0),0)))</f>
        <v>0</v>
      </c>
      <c r="B218" s="4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4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4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4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4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4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4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4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4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4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OR(AND(IF(metadata!C218="",FALSE,TRUE),OR(exact(metadata!C218,"not applicable"),exact(metadata!C218,"missing: not collected"),exact(metadata!C218,"missing: not provided"),exact(metadata!C218,"missing: restricted access"))),AND(IF(metadata!C218="",FALSE,ISNUMBER(VALUE(metadata!C218))),metadata!C218&gt;0))</f>
        <v>0</v>
      </c>
      <c r="X218">
        <f>AND(IF(metadata!D218="",FALSE,TRUE),exact(metadata!D218,"weeks"))</f>
        <v>0</v>
      </c>
      <c r="Y218">
        <f>AND(IF(metadata!E218="",FALSE,TRUE),exact(metadata!E218,"urban biome"))</f>
        <v>0</v>
      </c>
      <c r="Z218">
        <f>AND(IF(metadata!F218="",FALSE,TRUE),exact(metadata!F218,"animal-associated habitat"))</f>
        <v>0</v>
      </c>
      <c r="AA218">
        <f>AND(IF(metadata!G218="",FALSE,TRUE),exact(metadata!G218,"mouse"))</f>
        <v>0</v>
      </c>
      <c r="AB218">
        <f>AND(IF(metadata!H218="",FALSE,TRUE),exact(metadata!H218,"Mus musculus"))</f>
        <v>0</v>
      </c>
      <c r="AC218">
        <f>AND(IF(metadata!I218="",FALSE,TRUE),exact(metadata!I218,"10090"))</f>
        <v>0</v>
      </c>
      <c r="AD218">
        <f>OR(AND(IF(metadata!J218="",FALSE,TRUE),OR(exact(metadata!J218,"not applicable"),exact(metadata!J218,"missing: not collected"),exact(metadata!J218,"missing: not provided"),exact(metadata!J218,"missing: restricted access"))),AND(IF(metadata!J218="",FALSE,ISNUMBER(VALUE(metadata!J218))),metadata!J218&gt;0))</f>
        <v>0</v>
      </c>
      <c r="AE218">
        <f>AND(IF(metadata!K218="",FALSE,TRUE),exact(metadata!K218,"g"))</f>
        <v>0</v>
      </c>
    </row>
    <row r="219" spans="1:31">
      <c r="A219" s="5">
        <f>IF(B219=" "," ",HYPERLINK(CONCATENATE("#metadata!",ADDRESS(INDEX($Q$2:$Q$1001,MATCH(ROWS($O$2:O219),$O$2:$O$1001,0),0),1)),INDEX($T$2:$T$1001,MATCH(ROWS($O$2:O219),$O$2:$O$1001,0),0)))</f>
        <v>0</v>
      </c>
      <c r="B219" s="4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4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4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4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4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4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4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4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4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4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OR(AND(IF(metadata!C219="",FALSE,TRUE),OR(exact(metadata!C219,"not applicable"),exact(metadata!C219,"missing: not collected"),exact(metadata!C219,"missing: not provided"),exact(metadata!C219,"missing: restricted access"))),AND(IF(metadata!C219="",FALSE,ISNUMBER(VALUE(metadata!C219))),metadata!C219&gt;0))</f>
        <v>0</v>
      </c>
      <c r="X219">
        <f>AND(IF(metadata!D219="",FALSE,TRUE),exact(metadata!D219,"weeks"))</f>
        <v>0</v>
      </c>
      <c r="Y219">
        <f>AND(IF(metadata!E219="",FALSE,TRUE),exact(metadata!E219,"urban biome"))</f>
        <v>0</v>
      </c>
      <c r="Z219">
        <f>AND(IF(metadata!F219="",FALSE,TRUE),exact(metadata!F219,"animal-associated habitat"))</f>
        <v>0</v>
      </c>
      <c r="AA219">
        <f>AND(IF(metadata!G219="",FALSE,TRUE),exact(metadata!G219,"mouse"))</f>
        <v>0</v>
      </c>
      <c r="AB219">
        <f>AND(IF(metadata!H219="",FALSE,TRUE),exact(metadata!H219,"Mus musculus"))</f>
        <v>0</v>
      </c>
      <c r="AC219">
        <f>AND(IF(metadata!I219="",FALSE,TRUE),exact(metadata!I219,"10090"))</f>
        <v>0</v>
      </c>
      <c r="AD219">
        <f>OR(AND(IF(metadata!J219="",FALSE,TRUE),OR(exact(metadata!J219,"not applicable"),exact(metadata!J219,"missing: not collected"),exact(metadata!J219,"missing: not provided"),exact(metadata!J219,"missing: restricted access"))),AND(IF(metadata!J219="",FALSE,ISNUMBER(VALUE(metadata!J219))),metadata!J219&gt;0))</f>
        <v>0</v>
      </c>
      <c r="AE219">
        <f>AND(IF(metadata!K219="",FALSE,TRUE),exact(metadata!K219,"g"))</f>
        <v>0</v>
      </c>
    </row>
    <row r="220" spans="1:31">
      <c r="A220" s="5">
        <f>IF(B220=" "," ",HYPERLINK(CONCATENATE("#metadata!",ADDRESS(INDEX($Q$2:$Q$1001,MATCH(ROWS($O$2:O220),$O$2:$O$1001,0),0),1)),INDEX($T$2:$T$1001,MATCH(ROWS($O$2:O220),$O$2:$O$1001,0),0)))</f>
        <v>0</v>
      </c>
      <c r="B220" s="4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4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4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4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4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4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4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4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4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4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OR(AND(IF(metadata!C220="",FALSE,TRUE),OR(exact(metadata!C220,"not applicable"),exact(metadata!C220,"missing: not collected"),exact(metadata!C220,"missing: not provided"),exact(metadata!C220,"missing: restricted access"))),AND(IF(metadata!C220="",FALSE,ISNUMBER(VALUE(metadata!C220))),metadata!C220&gt;0))</f>
        <v>0</v>
      </c>
      <c r="X220">
        <f>AND(IF(metadata!D220="",FALSE,TRUE),exact(metadata!D220,"weeks"))</f>
        <v>0</v>
      </c>
      <c r="Y220">
        <f>AND(IF(metadata!E220="",FALSE,TRUE),exact(metadata!E220,"urban biome"))</f>
        <v>0</v>
      </c>
      <c r="Z220">
        <f>AND(IF(metadata!F220="",FALSE,TRUE),exact(metadata!F220,"animal-associated habitat"))</f>
        <v>0</v>
      </c>
      <c r="AA220">
        <f>AND(IF(metadata!G220="",FALSE,TRUE),exact(metadata!G220,"mouse"))</f>
        <v>0</v>
      </c>
      <c r="AB220">
        <f>AND(IF(metadata!H220="",FALSE,TRUE),exact(metadata!H220,"Mus musculus"))</f>
        <v>0</v>
      </c>
      <c r="AC220">
        <f>AND(IF(metadata!I220="",FALSE,TRUE),exact(metadata!I220,"10090"))</f>
        <v>0</v>
      </c>
      <c r="AD220">
        <f>OR(AND(IF(metadata!J220="",FALSE,TRUE),OR(exact(metadata!J220,"not applicable"),exact(metadata!J220,"missing: not collected"),exact(metadata!J220,"missing: not provided"),exact(metadata!J220,"missing: restricted access"))),AND(IF(metadata!J220="",FALSE,ISNUMBER(VALUE(metadata!J220))),metadata!J220&gt;0))</f>
        <v>0</v>
      </c>
      <c r="AE220">
        <f>AND(IF(metadata!K220="",FALSE,TRUE),exact(metadata!K220,"g"))</f>
        <v>0</v>
      </c>
    </row>
    <row r="221" spans="1:31">
      <c r="A221" s="5">
        <f>IF(B221=" "," ",HYPERLINK(CONCATENATE("#metadata!",ADDRESS(INDEX($Q$2:$Q$1001,MATCH(ROWS($O$2:O221),$O$2:$O$1001,0),0),1)),INDEX($T$2:$T$1001,MATCH(ROWS($O$2:O221),$O$2:$O$1001,0),0)))</f>
        <v>0</v>
      </c>
      <c r="B221" s="4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4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4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4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4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4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4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4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4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4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OR(AND(IF(metadata!C221="",FALSE,TRUE),OR(exact(metadata!C221,"not applicable"),exact(metadata!C221,"missing: not collected"),exact(metadata!C221,"missing: not provided"),exact(metadata!C221,"missing: restricted access"))),AND(IF(metadata!C221="",FALSE,ISNUMBER(VALUE(metadata!C221))),metadata!C221&gt;0))</f>
        <v>0</v>
      </c>
      <c r="X221">
        <f>AND(IF(metadata!D221="",FALSE,TRUE),exact(metadata!D221,"weeks"))</f>
        <v>0</v>
      </c>
      <c r="Y221">
        <f>AND(IF(metadata!E221="",FALSE,TRUE),exact(metadata!E221,"urban biome"))</f>
        <v>0</v>
      </c>
      <c r="Z221">
        <f>AND(IF(metadata!F221="",FALSE,TRUE),exact(metadata!F221,"animal-associated habitat"))</f>
        <v>0</v>
      </c>
      <c r="AA221">
        <f>AND(IF(metadata!G221="",FALSE,TRUE),exact(metadata!G221,"mouse"))</f>
        <v>0</v>
      </c>
      <c r="AB221">
        <f>AND(IF(metadata!H221="",FALSE,TRUE),exact(metadata!H221,"Mus musculus"))</f>
        <v>0</v>
      </c>
      <c r="AC221">
        <f>AND(IF(metadata!I221="",FALSE,TRUE),exact(metadata!I221,"10090"))</f>
        <v>0</v>
      </c>
      <c r="AD221">
        <f>OR(AND(IF(metadata!J221="",FALSE,TRUE),OR(exact(metadata!J221,"not applicable"),exact(metadata!J221,"missing: not collected"),exact(metadata!J221,"missing: not provided"),exact(metadata!J221,"missing: restricted access"))),AND(IF(metadata!J221="",FALSE,ISNUMBER(VALUE(metadata!J221))),metadata!J221&gt;0))</f>
        <v>0</v>
      </c>
      <c r="AE221">
        <f>AND(IF(metadata!K221="",FALSE,TRUE),exact(metadata!K221,"g"))</f>
        <v>0</v>
      </c>
    </row>
    <row r="222" spans="1:31">
      <c r="A222" s="5">
        <f>IF(B222=" "," ",HYPERLINK(CONCATENATE("#metadata!",ADDRESS(INDEX($Q$2:$Q$1001,MATCH(ROWS($O$2:O222),$O$2:$O$1001,0),0),1)),INDEX($T$2:$T$1001,MATCH(ROWS($O$2:O222),$O$2:$O$1001,0),0)))</f>
        <v>0</v>
      </c>
      <c r="B222" s="4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4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4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4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4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4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4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4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4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4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OR(AND(IF(metadata!C222="",FALSE,TRUE),OR(exact(metadata!C222,"not applicable"),exact(metadata!C222,"missing: not collected"),exact(metadata!C222,"missing: not provided"),exact(metadata!C222,"missing: restricted access"))),AND(IF(metadata!C222="",FALSE,ISNUMBER(VALUE(metadata!C222))),metadata!C222&gt;0))</f>
        <v>0</v>
      </c>
      <c r="X222">
        <f>AND(IF(metadata!D222="",FALSE,TRUE),exact(metadata!D222,"weeks"))</f>
        <v>0</v>
      </c>
      <c r="Y222">
        <f>AND(IF(metadata!E222="",FALSE,TRUE),exact(metadata!E222,"urban biome"))</f>
        <v>0</v>
      </c>
      <c r="Z222">
        <f>AND(IF(metadata!F222="",FALSE,TRUE),exact(metadata!F222,"animal-associated habitat"))</f>
        <v>0</v>
      </c>
      <c r="AA222">
        <f>AND(IF(metadata!G222="",FALSE,TRUE),exact(metadata!G222,"mouse"))</f>
        <v>0</v>
      </c>
      <c r="AB222">
        <f>AND(IF(metadata!H222="",FALSE,TRUE),exact(metadata!H222,"Mus musculus"))</f>
        <v>0</v>
      </c>
      <c r="AC222">
        <f>AND(IF(metadata!I222="",FALSE,TRUE),exact(metadata!I222,"10090"))</f>
        <v>0</v>
      </c>
      <c r="AD222">
        <f>OR(AND(IF(metadata!J222="",FALSE,TRUE),OR(exact(metadata!J222,"not applicable"),exact(metadata!J222,"missing: not collected"),exact(metadata!J222,"missing: not provided"),exact(metadata!J222,"missing: restricted access"))),AND(IF(metadata!J222="",FALSE,ISNUMBER(VALUE(metadata!J222))),metadata!J222&gt;0))</f>
        <v>0</v>
      </c>
      <c r="AE222">
        <f>AND(IF(metadata!K222="",FALSE,TRUE),exact(metadata!K222,"g"))</f>
        <v>0</v>
      </c>
    </row>
    <row r="223" spans="1:31">
      <c r="A223" s="5">
        <f>IF(B223=" "," ",HYPERLINK(CONCATENATE("#metadata!",ADDRESS(INDEX($Q$2:$Q$1001,MATCH(ROWS($O$2:O223),$O$2:$O$1001,0),0),1)),INDEX($T$2:$T$1001,MATCH(ROWS($O$2:O223),$O$2:$O$1001,0),0)))</f>
        <v>0</v>
      </c>
      <c r="B223" s="4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4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4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4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4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4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4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4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4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4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OR(AND(IF(metadata!C223="",FALSE,TRUE),OR(exact(metadata!C223,"not applicable"),exact(metadata!C223,"missing: not collected"),exact(metadata!C223,"missing: not provided"),exact(metadata!C223,"missing: restricted access"))),AND(IF(metadata!C223="",FALSE,ISNUMBER(VALUE(metadata!C223))),metadata!C223&gt;0))</f>
        <v>0</v>
      </c>
      <c r="X223">
        <f>AND(IF(metadata!D223="",FALSE,TRUE),exact(metadata!D223,"weeks"))</f>
        <v>0</v>
      </c>
      <c r="Y223">
        <f>AND(IF(metadata!E223="",FALSE,TRUE),exact(metadata!E223,"urban biome"))</f>
        <v>0</v>
      </c>
      <c r="Z223">
        <f>AND(IF(metadata!F223="",FALSE,TRUE),exact(metadata!F223,"animal-associated habitat"))</f>
        <v>0</v>
      </c>
      <c r="AA223">
        <f>AND(IF(metadata!G223="",FALSE,TRUE),exact(metadata!G223,"mouse"))</f>
        <v>0</v>
      </c>
      <c r="AB223">
        <f>AND(IF(metadata!H223="",FALSE,TRUE),exact(metadata!H223,"Mus musculus"))</f>
        <v>0</v>
      </c>
      <c r="AC223">
        <f>AND(IF(metadata!I223="",FALSE,TRUE),exact(metadata!I223,"10090"))</f>
        <v>0</v>
      </c>
      <c r="AD223">
        <f>OR(AND(IF(metadata!J223="",FALSE,TRUE),OR(exact(metadata!J223,"not applicable"),exact(metadata!J223,"missing: not collected"),exact(metadata!J223,"missing: not provided"),exact(metadata!J223,"missing: restricted access"))),AND(IF(metadata!J223="",FALSE,ISNUMBER(VALUE(metadata!J223))),metadata!J223&gt;0))</f>
        <v>0</v>
      </c>
      <c r="AE223">
        <f>AND(IF(metadata!K223="",FALSE,TRUE),exact(metadata!K223,"g"))</f>
        <v>0</v>
      </c>
    </row>
    <row r="224" spans="1:31">
      <c r="A224" s="5">
        <f>IF(B224=" "," ",HYPERLINK(CONCATENATE("#metadata!",ADDRESS(INDEX($Q$2:$Q$1001,MATCH(ROWS($O$2:O224),$O$2:$O$1001,0),0),1)),INDEX($T$2:$T$1001,MATCH(ROWS($O$2:O224),$O$2:$O$1001,0),0)))</f>
        <v>0</v>
      </c>
      <c r="B224" s="4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4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4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4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4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4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4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4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4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4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OR(AND(IF(metadata!C224="",FALSE,TRUE),OR(exact(metadata!C224,"not applicable"),exact(metadata!C224,"missing: not collected"),exact(metadata!C224,"missing: not provided"),exact(metadata!C224,"missing: restricted access"))),AND(IF(metadata!C224="",FALSE,ISNUMBER(VALUE(metadata!C224))),metadata!C224&gt;0))</f>
        <v>0</v>
      </c>
      <c r="X224">
        <f>AND(IF(metadata!D224="",FALSE,TRUE),exact(metadata!D224,"weeks"))</f>
        <v>0</v>
      </c>
      <c r="Y224">
        <f>AND(IF(metadata!E224="",FALSE,TRUE),exact(metadata!E224,"urban biome"))</f>
        <v>0</v>
      </c>
      <c r="Z224">
        <f>AND(IF(metadata!F224="",FALSE,TRUE),exact(metadata!F224,"animal-associated habitat"))</f>
        <v>0</v>
      </c>
      <c r="AA224">
        <f>AND(IF(metadata!G224="",FALSE,TRUE),exact(metadata!G224,"mouse"))</f>
        <v>0</v>
      </c>
      <c r="AB224">
        <f>AND(IF(metadata!H224="",FALSE,TRUE),exact(metadata!H224,"Mus musculus"))</f>
        <v>0</v>
      </c>
      <c r="AC224">
        <f>AND(IF(metadata!I224="",FALSE,TRUE),exact(metadata!I224,"10090"))</f>
        <v>0</v>
      </c>
      <c r="AD224">
        <f>OR(AND(IF(metadata!J224="",FALSE,TRUE),OR(exact(metadata!J224,"not applicable"),exact(metadata!J224,"missing: not collected"),exact(metadata!J224,"missing: not provided"),exact(metadata!J224,"missing: restricted access"))),AND(IF(metadata!J224="",FALSE,ISNUMBER(VALUE(metadata!J224))),metadata!J224&gt;0))</f>
        <v>0</v>
      </c>
      <c r="AE224">
        <f>AND(IF(metadata!K224="",FALSE,TRUE),exact(metadata!K224,"g"))</f>
        <v>0</v>
      </c>
    </row>
    <row r="225" spans="1:31">
      <c r="A225" s="5">
        <f>IF(B225=" "," ",HYPERLINK(CONCATENATE("#metadata!",ADDRESS(INDEX($Q$2:$Q$1001,MATCH(ROWS($O$2:O225),$O$2:$O$1001,0),0),1)),INDEX($T$2:$T$1001,MATCH(ROWS($O$2:O225),$O$2:$O$1001,0),0)))</f>
        <v>0</v>
      </c>
      <c r="B225" s="4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4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4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4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4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4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4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4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4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4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OR(AND(IF(metadata!C225="",FALSE,TRUE),OR(exact(metadata!C225,"not applicable"),exact(metadata!C225,"missing: not collected"),exact(metadata!C225,"missing: not provided"),exact(metadata!C225,"missing: restricted access"))),AND(IF(metadata!C225="",FALSE,ISNUMBER(VALUE(metadata!C225))),metadata!C225&gt;0))</f>
        <v>0</v>
      </c>
      <c r="X225">
        <f>AND(IF(metadata!D225="",FALSE,TRUE),exact(metadata!D225,"weeks"))</f>
        <v>0</v>
      </c>
      <c r="Y225">
        <f>AND(IF(metadata!E225="",FALSE,TRUE),exact(metadata!E225,"urban biome"))</f>
        <v>0</v>
      </c>
      <c r="Z225">
        <f>AND(IF(metadata!F225="",FALSE,TRUE),exact(metadata!F225,"animal-associated habitat"))</f>
        <v>0</v>
      </c>
      <c r="AA225">
        <f>AND(IF(metadata!G225="",FALSE,TRUE),exact(metadata!G225,"mouse"))</f>
        <v>0</v>
      </c>
      <c r="AB225">
        <f>AND(IF(metadata!H225="",FALSE,TRUE),exact(metadata!H225,"Mus musculus"))</f>
        <v>0</v>
      </c>
      <c r="AC225">
        <f>AND(IF(metadata!I225="",FALSE,TRUE),exact(metadata!I225,"10090"))</f>
        <v>0</v>
      </c>
      <c r="AD225">
        <f>OR(AND(IF(metadata!J225="",FALSE,TRUE),OR(exact(metadata!J225,"not applicable"),exact(metadata!J225,"missing: not collected"),exact(metadata!J225,"missing: not provided"),exact(metadata!J225,"missing: restricted access"))),AND(IF(metadata!J225="",FALSE,ISNUMBER(VALUE(metadata!J225))),metadata!J225&gt;0))</f>
        <v>0</v>
      </c>
      <c r="AE225">
        <f>AND(IF(metadata!K225="",FALSE,TRUE),exact(metadata!K225,"g"))</f>
        <v>0</v>
      </c>
    </row>
    <row r="226" spans="1:31">
      <c r="A226" s="5">
        <f>IF(B226=" "," ",HYPERLINK(CONCATENATE("#metadata!",ADDRESS(INDEX($Q$2:$Q$1001,MATCH(ROWS($O$2:O226),$O$2:$O$1001,0),0),1)),INDEX($T$2:$T$1001,MATCH(ROWS($O$2:O226),$O$2:$O$1001,0),0)))</f>
        <v>0</v>
      </c>
      <c r="B226" s="4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4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4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4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4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4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4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4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4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4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OR(AND(IF(metadata!C226="",FALSE,TRUE),OR(exact(metadata!C226,"not applicable"),exact(metadata!C226,"missing: not collected"),exact(metadata!C226,"missing: not provided"),exact(metadata!C226,"missing: restricted access"))),AND(IF(metadata!C226="",FALSE,ISNUMBER(VALUE(metadata!C226))),metadata!C226&gt;0))</f>
        <v>0</v>
      </c>
      <c r="X226">
        <f>AND(IF(metadata!D226="",FALSE,TRUE),exact(metadata!D226,"weeks"))</f>
        <v>0</v>
      </c>
      <c r="Y226">
        <f>AND(IF(metadata!E226="",FALSE,TRUE),exact(metadata!E226,"urban biome"))</f>
        <v>0</v>
      </c>
      <c r="Z226">
        <f>AND(IF(metadata!F226="",FALSE,TRUE),exact(metadata!F226,"animal-associated habitat"))</f>
        <v>0</v>
      </c>
      <c r="AA226">
        <f>AND(IF(metadata!G226="",FALSE,TRUE),exact(metadata!G226,"mouse"))</f>
        <v>0</v>
      </c>
      <c r="AB226">
        <f>AND(IF(metadata!H226="",FALSE,TRUE),exact(metadata!H226,"Mus musculus"))</f>
        <v>0</v>
      </c>
      <c r="AC226">
        <f>AND(IF(metadata!I226="",FALSE,TRUE),exact(metadata!I226,"10090"))</f>
        <v>0</v>
      </c>
      <c r="AD226">
        <f>OR(AND(IF(metadata!J226="",FALSE,TRUE),OR(exact(metadata!J226,"not applicable"),exact(metadata!J226,"missing: not collected"),exact(metadata!J226,"missing: not provided"),exact(metadata!J226,"missing: restricted access"))),AND(IF(metadata!J226="",FALSE,ISNUMBER(VALUE(metadata!J226))),metadata!J226&gt;0))</f>
        <v>0</v>
      </c>
      <c r="AE226">
        <f>AND(IF(metadata!K226="",FALSE,TRUE),exact(metadata!K226,"g"))</f>
        <v>0</v>
      </c>
    </row>
    <row r="227" spans="1:31">
      <c r="A227" s="5">
        <f>IF(B227=" "," ",HYPERLINK(CONCATENATE("#metadata!",ADDRESS(INDEX($Q$2:$Q$1001,MATCH(ROWS($O$2:O227),$O$2:$O$1001,0),0),1)),INDEX($T$2:$T$1001,MATCH(ROWS($O$2:O227),$O$2:$O$1001,0),0)))</f>
        <v>0</v>
      </c>
      <c r="B227" s="4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4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4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4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4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4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4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4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4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4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OR(AND(IF(metadata!C227="",FALSE,TRUE),OR(exact(metadata!C227,"not applicable"),exact(metadata!C227,"missing: not collected"),exact(metadata!C227,"missing: not provided"),exact(metadata!C227,"missing: restricted access"))),AND(IF(metadata!C227="",FALSE,ISNUMBER(VALUE(metadata!C227))),metadata!C227&gt;0))</f>
        <v>0</v>
      </c>
      <c r="X227">
        <f>AND(IF(metadata!D227="",FALSE,TRUE),exact(metadata!D227,"weeks"))</f>
        <v>0</v>
      </c>
      <c r="Y227">
        <f>AND(IF(metadata!E227="",FALSE,TRUE),exact(metadata!E227,"urban biome"))</f>
        <v>0</v>
      </c>
      <c r="Z227">
        <f>AND(IF(metadata!F227="",FALSE,TRUE),exact(metadata!F227,"animal-associated habitat"))</f>
        <v>0</v>
      </c>
      <c r="AA227">
        <f>AND(IF(metadata!G227="",FALSE,TRUE),exact(metadata!G227,"mouse"))</f>
        <v>0</v>
      </c>
      <c r="AB227">
        <f>AND(IF(metadata!H227="",FALSE,TRUE),exact(metadata!H227,"Mus musculus"))</f>
        <v>0</v>
      </c>
      <c r="AC227">
        <f>AND(IF(metadata!I227="",FALSE,TRUE),exact(metadata!I227,"10090"))</f>
        <v>0</v>
      </c>
      <c r="AD227">
        <f>OR(AND(IF(metadata!J227="",FALSE,TRUE),OR(exact(metadata!J227,"not applicable"),exact(metadata!J227,"missing: not collected"),exact(metadata!J227,"missing: not provided"),exact(metadata!J227,"missing: restricted access"))),AND(IF(metadata!J227="",FALSE,ISNUMBER(VALUE(metadata!J227))),metadata!J227&gt;0))</f>
        <v>0</v>
      </c>
      <c r="AE227">
        <f>AND(IF(metadata!K227="",FALSE,TRUE),exact(metadata!K227,"g"))</f>
        <v>0</v>
      </c>
    </row>
    <row r="228" spans="1:31">
      <c r="A228" s="5">
        <f>IF(B228=" "," ",HYPERLINK(CONCATENATE("#metadata!",ADDRESS(INDEX($Q$2:$Q$1001,MATCH(ROWS($O$2:O228),$O$2:$O$1001,0),0),1)),INDEX($T$2:$T$1001,MATCH(ROWS($O$2:O228),$O$2:$O$1001,0),0)))</f>
        <v>0</v>
      </c>
      <c r="B228" s="4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4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4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4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4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4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4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4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4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4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OR(AND(IF(metadata!C228="",FALSE,TRUE),OR(exact(metadata!C228,"not applicable"),exact(metadata!C228,"missing: not collected"),exact(metadata!C228,"missing: not provided"),exact(metadata!C228,"missing: restricted access"))),AND(IF(metadata!C228="",FALSE,ISNUMBER(VALUE(metadata!C228))),metadata!C228&gt;0))</f>
        <v>0</v>
      </c>
      <c r="X228">
        <f>AND(IF(metadata!D228="",FALSE,TRUE),exact(metadata!D228,"weeks"))</f>
        <v>0</v>
      </c>
      <c r="Y228">
        <f>AND(IF(metadata!E228="",FALSE,TRUE),exact(metadata!E228,"urban biome"))</f>
        <v>0</v>
      </c>
      <c r="Z228">
        <f>AND(IF(metadata!F228="",FALSE,TRUE),exact(metadata!F228,"animal-associated habitat"))</f>
        <v>0</v>
      </c>
      <c r="AA228">
        <f>AND(IF(metadata!G228="",FALSE,TRUE),exact(metadata!G228,"mouse"))</f>
        <v>0</v>
      </c>
      <c r="AB228">
        <f>AND(IF(metadata!H228="",FALSE,TRUE),exact(metadata!H228,"Mus musculus"))</f>
        <v>0</v>
      </c>
      <c r="AC228">
        <f>AND(IF(metadata!I228="",FALSE,TRUE),exact(metadata!I228,"10090"))</f>
        <v>0</v>
      </c>
      <c r="AD228">
        <f>OR(AND(IF(metadata!J228="",FALSE,TRUE),OR(exact(metadata!J228,"not applicable"),exact(metadata!J228,"missing: not collected"),exact(metadata!J228,"missing: not provided"),exact(metadata!J228,"missing: restricted access"))),AND(IF(metadata!J228="",FALSE,ISNUMBER(VALUE(metadata!J228))),metadata!J228&gt;0))</f>
        <v>0</v>
      </c>
      <c r="AE228">
        <f>AND(IF(metadata!K228="",FALSE,TRUE),exact(metadata!K228,"g"))</f>
        <v>0</v>
      </c>
    </row>
    <row r="229" spans="1:31">
      <c r="A229" s="5">
        <f>IF(B229=" "," ",HYPERLINK(CONCATENATE("#metadata!",ADDRESS(INDEX($Q$2:$Q$1001,MATCH(ROWS($O$2:O229),$O$2:$O$1001,0),0),1)),INDEX($T$2:$T$1001,MATCH(ROWS($O$2:O229),$O$2:$O$1001,0),0)))</f>
        <v>0</v>
      </c>
      <c r="B229" s="4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4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4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4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4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4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4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4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4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4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OR(AND(IF(metadata!C229="",FALSE,TRUE),OR(exact(metadata!C229,"not applicable"),exact(metadata!C229,"missing: not collected"),exact(metadata!C229,"missing: not provided"),exact(metadata!C229,"missing: restricted access"))),AND(IF(metadata!C229="",FALSE,ISNUMBER(VALUE(metadata!C229))),metadata!C229&gt;0))</f>
        <v>0</v>
      </c>
      <c r="X229">
        <f>AND(IF(metadata!D229="",FALSE,TRUE),exact(metadata!D229,"weeks"))</f>
        <v>0</v>
      </c>
      <c r="Y229">
        <f>AND(IF(metadata!E229="",FALSE,TRUE),exact(metadata!E229,"urban biome"))</f>
        <v>0</v>
      </c>
      <c r="Z229">
        <f>AND(IF(metadata!F229="",FALSE,TRUE),exact(metadata!F229,"animal-associated habitat"))</f>
        <v>0</v>
      </c>
      <c r="AA229">
        <f>AND(IF(metadata!G229="",FALSE,TRUE),exact(metadata!G229,"mouse"))</f>
        <v>0</v>
      </c>
      <c r="AB229">
        <f>AND(IF(metadata!H229="",FALSE,TRUE),exact(metadata!H229,"Mus musculus"))</f>
        <v>0</v>
      </c>
      <c r="AC229">
        <f>AND(IF(metadata!I229="",FALSE,TRUE),exact(metadata!I229,"10090"))</f>
        <v>0</v>
      </c>
      <c r="AD229">
        <f>OR(AND(IF(metadata!J229="",FALSE,TRUE),OR(exact(metadata!J229,"not applicable"),exact(metadata!J229,"missing: not collected"),exact(metadata!J229,"missing: not provided"),exact(metadata!J229,"missing: restricted access"))),AND(IF(metadata!J229="",FALSE,ISNUMBER(VALUE(metadata!J229))),metadata!J229&gt;0))</f>
        <v>0</v>
      </c>
      <c r="AE229">
        <f>AND(IF(metadata!K229="",FALSE,TRUE),exact(metadata!K229,"g"))</f>
        <v>0</v>
      </c>
    </row>
    <row r="230" spans="1:31">
      <c r="A230" s="5">
        <f>IF(B230=" "," ",HYPERLINK(CONCATENATE("#metadata!",ADDRESS(INDEX($Q$2:$Q$1001,MATCH(ROWS($O$2:O230),$O$2:$O$1001,0),0),1)),INDEX($T$2:$T$1001,MATCH(ROWS($O$2:O230),$O$2:$O$1001,0),0)))</f>
        <v>0</v>
      </c>
      <c r="B230" s="4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4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4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4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4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4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4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4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4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4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OR(AND(IF(metadata!C230="",FALSE,TRUE),OR(exact(metadata!C230,"not applicable"),exact(metadata!C230,"missing: not collected"),exact(metadata!C230,"missing: not provided"),exact(metadata!C230,"missing: restricted access"))),AND(IF(metadata!C230="",FALSE,ISNUMBER(VALUE(metadata!C230))),metadata!C230&gt;0))</f>
        <v>0</v>
      </c>
      <c r="X230">
        <f>AND(IF(metadata!D230="",FALSE,TRUE),exact(metadata!D230,"weeks"))</f>
        <v>0</v>
      </c>
      <c r="Y230">
        <f>AND(IF(metadata!E230="",FALSE,TRUE),exact(metadata!E230,"urban biome"))</f>
        <v>0</v>
      </c>
      <c r="Z230">
        <f>AND(IF(metadata!F230="",FALSE,TRUE),exact(metadata!F230,"animal-associated habitat"))</f>
        <v>0</v>
      </c>
      <c r="AA230">
        <f>AND(IF(metadata!G230="",FALSE,TRUE),exact(metadata!G230,"mouse"))</f>
        <v>0</v>
      </c>
      <c r="AB230">
        <f>AND(IF(metadata!H230="",FALSE,TRUE),exact(metadata!H230,"Mus musculus"))</f>
        <v>0</v>
      </c>
      <c r="AC230">
        <f>AND(IF(metadata!I230="",FALSE,TRUE),exact(metadata!I230,"10090"))</f>
        <v>0</v>
      </c>
      <c r="AD230">
        <f>OR(AND(IF(metadata!J230="",FALSE,TRUE),OR(exact(metadata!J230,"not applicable"),exact(metadata!J230,"missing: not collected"),exact(metadata!J230,"missing: not provided"),exact(metadata!J230,"missing: restricted access"))),AND(IF(metadata!J230="",FALSE,ISNUMBER(VALUE(metadata!J230))),metadata!J230&gt;0))</f>
        <v>0</v>
      </c>
      <c r="AE230">
        <f>AND(IF(metadata!K230="",FALSE,TRUE),exact(metadata!K230,"g"))</f>
        <v>0</v>
      </c>
    </row>
    <row r="231" spans="1:31">
      <c r="A231" s="5">
        <f>IF(B231=" "," ",HYPERLINK(CONCATENATE("#metadata!",ADDRESS(INDEX($Q$2:$Q$1001,MATCH(ROWS($O$2:O231),$O$2:$O$1001,0),0),1)),INDEX($T$2:$T$1001,MATCH(ROWS($O$2:O231),$O$2:$O$1001,0),0)))</f>
        <v>0</v>
      </c>
      <c r="B231" s="4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4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4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4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4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4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4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4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4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4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OR(AND(IF(metadata!C231="",FALSE,TRUE),OR(exact(metadata!C231,"not applicable"),exact(metadata!C231,"missing: not collected"),exact(metadata!C231,"missing: not provided"),exact(metadata!C231,"missing: restricted access"))),AND(IF(metadata!C231="",FALSE,ISNUMBER(VALUE(metadata!C231))),metadata!C231&gt;0))</f>
        <v>0</v>
      </c>
      <c r="X231">
        <f>AND(IF(metadata!D231="",FALSE,TRUE),exact(metadata!D231,"weeks"))</f>
        <v>0</v>
      </c>
      <c r="Y231">
        <f>AND(IF(metadata!E231="",FALSE,TRUE),exact(metadata!E231,"urban biome"))</f>
        <v>0</v>
      </c>
      <c r="Z231">
        <f>AND(IF(metadata!F231="",FALSE,TRUE),exact(metadata!F231,"animal-associated habitat"))</f>
        <v>0</v>
      </c>
      <c r="AA231">
        <f>AND(IF(metadata!G231="",FALSE,TRUE),exact(metadata!G231,"mouse"))</f>
        <v>0</v>
      </c>
      <c r="AB231">
        <f>AND(IF(metadata!H231="",FALSE,TRUE),exact(metadata!H231,"Mus musculus"))</f>
        <v>0</v>
      </c>
      <c r="AC231">
        <f>AND(IF(metadata!I231="",FALSE,TRUE),exact(metadata!I231,"10090"))</f>
        <v>0</v>
      </c>
      <c r="AD231">
        <f>OR(AND(IF(metadata!J231="",FALSE,TRUE),OR(exact(metadata!J231,"not applicable"),exact(metadata!J231,"missing: not collected"),exact(metadata!J231,"missing: not provided"),exact(metadata!J231,"missing: restricted access"))),AND(IF(metadata!J231="",FALSE,ISNUMBER(VALUE(metadata!J231))),metadata!J231&gt;0))</f>
        <v>0</v>
      </c>
      <c r="AE231">
        <f>AND(IF(metadata!K231="",FALSE,TRUE),exact(metadata!K231,"g"))</f>
        <v>0</v>
      </c>
    </row>
    <row r="232" spans="1:31">
      <c r="A232" s="5">
        <f>IF(B232=" "," ",HYPERLINK(CONCATENATE("#metadata!",ADDRESS(INDEX($Q$2:$Q$1001,MATCH(ROWS($O$2:O232),$O$2:$O$1001,0),0),1)),INDEX($T$2:$T$1001,MATCH(ROWS($O$2:O232),$O$2:$O$1001,0),0)))</f>
        <v>0</v>
      </c>
      <c r="B232" s="4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4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4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4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4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4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4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4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4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4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OR(AND(IF(metadata!C232="",FALSE,TRUE),OR(exact(metadata!C232,"not applicable"),exact(metadata!C232,"missing: not collected"),exact(metadata!C232,"missing: not provided"),exact(metadata!C232,"missing: restricted access"))),AND(IF(metadata!C232="",FALSE,ISNUMBER(VALUE(metadata!C232))),metadata!C232&gt;0))</f>
        <v>0</v>
      </c>
      <c r="X232">
        <f>AND(IF(metadata!D232="",FALSE,TRUE),exact(metadata!D232,"weeks"))</f>
        <v>0</v>
      </c>
      <c r="Y232">
        <f>AND(IF(metadata!E232="",FALSE,TRUE),exact(metadata!E232,"urban biome"))</f>
        <v>0</v>
      </c>
      <c r="Z232">
        <f>AND(IF(metadata!F232="",FALSE,TRUE),exact(metadata!F232,"animal-associated habitat"))</f>
        <v>0</v>
      </c>
      <c r="AA232">
        <f>AND(IF(metadata!G232="",FALSE,TRUE),exact(metadata!G232,"mouse"))</f>
        <v>0</v>
      </c>
      <c r="AB232">
        <f>AND(IF(metadata!H232="",FALSE,TRUE),exact(metadata!H232,"Mus musculus"))</f>
        <v>0</v>
      </c>
      <c r="AC232">
        <f>AND(IF(metadata!I232="",FALSE,TRUE),exact(metadata!I232,"10090"))</f>
        <v>0</v>
      </c>
      <c r="AD232">
        <f>OR(AND(IF(metadata!J232="",FALSE,TRUE),OR(exact(metadata!J232,"not applicable"),exact(metadata!J232,"missing: not collected"),exact(metadata!J232,"missing: not provided"),exact(metadata!J232,"missing: restricted access"))),AND(IF(metadata!J232="",FALSE,ISNUMBER(VALUE(metadata!J232))),metadata!J232&gt;0))</f>
        <v>0</v>
      </c>
      <c r="AE232">
        <f>AND(IF(metadata!K232="",FALSE,TRUE),exact(metadata!K232,"g"))</f>
        <v>0</v>
      </c>
    </row>
    <row r="233" spans="1:31">
      <c r="A233" s="5">
        <f>IF(B233=" "," ",HYPERLINK(CONCATENATE("#metadata!",ADDRESS(INDEX($Q$2:$Q$1001,MATCH(ROWS($O$2:O233),$O$2:$O$1001,0),0),1)),INDEX($T$2:$T$1001,MATCH(ROWS($O$2:O233),$O$2:$O$1001,0),0)))</f>
        <v>0</v>
      </c>
      <c r="B233" s="4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4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4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4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4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4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4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4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4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4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OR(AND(IF(metadata!C233="",FALSE,TRUE),OR(exact(metadata!C233,"not applicable"),exact(metadata!C233,"missing: not collected"),exact(metadata!C233,"missing: not provided"),exact(metadata!C233,"missing: restricted access"))),AND(IF(metadata!C233="",FALSE,ISNUMBER(VALUE(metadata!C233))),metadata!C233&gt;0))</f>
        <v>0</v>
      </c>
      <c r="X233">
        <f>AND(IF(metadata!D233="",FALSE,TRUE),exact(metadata!D233,"weeks"))</f>
        <v>0</v>
      </c>
      <c r="Y233">
        <f>AND(IF(metadata!E233="",FALSE,TRUE),exact(metadata!E233,"urban biome"))</f>
        <v>0</v>
      </c>
      <c r="Z233">
        <f>AND(IF(metadata!F233="",FALSE,TRUE),exact(metadata!F233,"animal-associated habitat"))</f>
        <v>0</v>
      </c>
      <c r="AA233">
        <f>AND(IF(metadata!G233="",FALSE,TRUE),exact(metadata!G233,"mouse"))</f>
        <v>0</v>
      </c>
      <c r="AB233">
        <f>AND(IF(metadata!H233="",FALSE,TRUE),exact(metadata!H233,"Mus musculus"))</f>
        <v>0</v>
      </c>
      <c r="AC233">
        <f>AND(IF(metadata!I233="",FALSE,TRUE),exact(metadata!I233,"10090"))</f>
        <v>0</v>
      </c>
      <c r="AD233">
        <f>OR(AND(IF(metadata!J233="",FALSE,TRUE),OR(exact(metadata!J233,"not applicable"),exact(metadata!J233,"missing: not collected"),exact(metadata!J233,"missing: not provided"),exact(metadata!J233,"missing: restricted access"))),AND(IF(metadata!J233="",FALSE,ISNUMBER(VALUE(metadata!J233))),metadata!J233&gt;0))</f>
        <v>0</v>
      </c>
      <c r="AE233">
        <f>AND(IF(metadata!K233="",FALSE,TRUE),exact(metadata!K233,"g"))</f>
        <v>0</v>
      </c>
    </row>
    <row r="234" spans="1:31">
      <c r="A234" s="5">
        <f>IF(B234=" "," ",HYPERLINK(CONCATENATE("#metadata!",ADDRESS(INDEX($Q$2:$Q$1001,MATCH(ROWS($O$2:O234),$O$2:$O$1001,0),0),1)),INDEX($T$2:$T$1001,MATCH(ROWS($O$2:O234),$O$2:$O$1001,0),0)))</f>
        <v>0</v>
      </c>
      <c r="B234" s="4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4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4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4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4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4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4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4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4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4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OR(AND(IF(metadata!C234="",FALSE,TRUE),OR(exact(metadata!C234,"not applicable"),exact(metadata!C234,"missing: not collected"),exact(metadata!C234,"missing: not provided"),exact(metadata!C234,"missing: restricted access"))),AND(IF(metadata!C234="",FALSE,ISNUMBER(VALUE(metadata!C234))),metadata!C234&gt;0))</f>
        <v>0</v>
      </c>
      <c r="X234">
        <f>AND(IF(metadata!D234="",FALSE,TRUE),exact(metadata!D234,"weeks"))</f>
        <v>0</v>
      </c>
      <c r="Y234">
        <f>AND(IF(metadata!E234="",FALSE,TRUE),exact(metadata!E234,"urban biome"))</f>
        <v>0</v>
      </c>
      <c r="Z234">
        <f>AND(IF(metadata!F234="",FALSE,TRUE),exact(metadata!F234,"animal-associated habitat"))</f>
        <v>0</v>
      </c>
      <c r="AA234">
        <f>AND(IF(metadata!G234="",FALSE,TRUE),exact(metadata!G234,"mouse"))</f>
        <v>0</v>
      </c>
      <c r="AB234">
        <f>AND(IF(metadata!H234="",FALSE,TRUE),exact(metadata!H234,"Mus musculus"))</f>
        <v>0</v>
      </c>
      <c r="AC234">
        <f>AND(IF(metadata!I234="",FALSE,TRUE),exact(metadata!I234,"10090"))</f>
        <v>0</v>
      </c>
      <c r="AD234">
        <f>OR(AND(IF(metadata!J234="",FALSE,TRUE),OR(exact(metadata!J234,"not applicable"),exact(metadata!J234,"missing: not collected"),exact(metadata!J234,"missing: not provided"),exact(metadata!J234,"missing: restricted access"))),AND(IF(metadata!J234="",FALSE,ISNUMBER(VALUE(metadata!J234))),metadata!J234&gt;0))</f>
        <v>0</v>
      </c>
      <c r="AE234">
        <f>AND(IF(metadata!K234="",FALSE,TRUE),exact(metadata!K234,"g"))</f>
        <v>0</v>
      </c>
    </row>
    <row r="235" spans="1:31">
      <c r="A235" s="5">
        <f>IF(B235=" "," ",HYPERLINK(CONCATENATE("#metadata!",ADDRESS(INDEX($Q$2:$Q$1001,MATCH(ROWS($O$2:O235),$O$2:$O$1001,0),0),1)),INDEX($T$2:$T$1001,MATCH(ROWS($O$2:O235),$O$2:$O$1001,0),0)))</f>
        <v>0</v>
      </c>
      <c r="B235" s="4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4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4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4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4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4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4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4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4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4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OR(AND(IF(metadata!C235="",FALSE,TRUE),OR(exact(metadata!C235,"not applicable"),exact(metadata!C235,"missing: not collected"),exact(metadata!C235,"missing: not provided"),exact(metadata!C235,"missing: restricted access"))),AND(IF(metadata!C235="",FALSE,ISNUMBER(VALUE(metadata!C235))),metadata!C235&gt;0))</f>
        <v>0</v>
      </c>
      <c r="X235">
        <f>AND(IF(metadata!D235="",FALSE,TRUE),exact(metadata!D235,"weeks"))</f>
        <v>0</v>
      </c>
      <c r="Y235">
        <f>AND(IF(metadata!E235="",FALSE,TRUE),exact(metadata!E235,"urban biome"))</f>
        <v>0</v>
      </c>
      <c r="Z235">
        <f>AND(IF(metadata!F235="",FALSE,TRUE),exact(metadata!F235,"animal-associated habitat"))</f>
        <v>0</v>
      </c>
      <c r="AA235">
        <f>AND(IF(metadata!G235="",FALSE,TRUE),exact(metadata!G235,"mouse"))</f>
        <v>0</v>
      </c>
      <c r="AB235">
        <f>AND(IF(metadata!H235="",FALSE,TRUE),exact(metadata!H235,"Mus musculus"))</f>
        <v>0</v>
      </c>
      <c r="AC235">
        <f>AND(IF(metadata!I235="",FALSE,TRUE),exact(metadata!I235,"10090"))</f>
        <v>0</v>
      </c>
      <c r="AD235">
        <f>OR(AND(IF(metadata!J235="",FALSE,TRUE),OR(exact(metadata!J235,"not applicable"),exact(metadata!J235,"missing: not collected"),exact(metadata!J235,"missing: not provided"),exact(metadata!J235,"missing: restricted access"))),AND(IF(metadata!J235="",FALSE,ISNUMBER(VALUE(metadata!J235))),metadata!J235&gt;0))</f>
        <v>0</v>
      </c>
      <c r="AE235">
        <f>AND(IF(metadata!K235="",FALSE,TRUE),exact(metadata!K235,"g"))</f>
        <v>0</v>
      </c>
    </row>
    <row r="236" spans="1:31">
      <c r="A236" s="5">
        <f>IF(B236=" "," ",HYPERLINK(CONCATENATE("#metadata!",ADDRESS(INDEX($Q$2:$Q$1001,MATCH(ROWS($O$2:O236),$O$2:$O$1001,0),0),1)),INDEX($T$2:$T$1001,MATCH(ROWS($O$2:O236),$O$2:$O$1001,0),0)))</f>
        <v>0</v>
      </c>
      <c r="B236" s="4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4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4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4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4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4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4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4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4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4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OR(AND(IF(metadata!C236="",FALSE,TRUE),OR(exact(metadata!C236,"not applicable"),exact(metadata!C236,"missing: not collected"),exact(metadata!C236,"missing: not provided"),exact(metadata!C236,"missing: restricted access"))),AND(IF(metadata!C236="",FALSE,ISNUMBER(VALUE(metadata!C236))),metadata!C236&gt;0))</f>
        <v>0</v>
      </c>
      <c r="X236">
        <f>AND(IF(metadata!D236="",FALSE,TRUE),exact(metadata!D236,"weeks"))</f>
        <v>0</v>
      </c>
      <c r="Y236">
        <f>AND(IF(metadata!E236="",FALSE,TRUE),exact(metadata!E236,"urban biome"))</f>
        <v>0</v>
      </c>
      <c r="Z236">
        <f>AND(IF(metadata!F236="",FALSE,TRUE),exact(metadata!F236,"animal-associated habitat"))</f>
        <v>0</v>
      </c>
      <c r="AA236">
        <f>AND(IF(metadata!G236="",FALSE,TRUE),exact(metadata!G236,"mouse"))</f>
        <v>0</v>
      </c>
      <c r="AB236">
        <f>AND(IF(metadata!H236="",FALSE,TRUE),exact(metadata!H236,"Mus musculus"))</f>
        <v>0</v>
      </c>
      <c r="AC236">
        <f>AND(IF(metadata!I236="",FALSE,TRUE),exact(metadata!I236,"10090"))</f>
        <v>0</v>
      </c>
      <c r="AD236">
        <f>OR(AND(IF(metadata!J236="",FALSE,TRUE),OR(exact(metadata!J236,"not applicable"),exact(metadata!J236,"missing: not collected"),exact(metadata!J236,"missing: not provided"),exact(metadata!J236,"missing: restricted access"))),AND(IF(metadata!J236="",FALSE,ISNUMBER(VALUE(metadata!J236))),metadata!J236&gt;0))</f>
        <v>0</v>
      </c>
      <c r="AE236">
        <f>AND(IF(metadata!K236="",FALSE,TRUE),exact(metadata!K236,"g"))</f>
        <v>0</v>
      </c>
    </row>
    <row r="237" spans="1:31">
      <c r="A237" s="5">
        <f>IF(B237=" "," ",HYPERLINK(CONCATENATE("#metadata!",ADDRESS(INDEX($Q$2:$Q$1001,MATCH(ROWS($O$2:O237),$O$2:$O$1001,0),0),1)),INDEX($T$2:$T$1001,MATCH(ROWS($O$2:O237),$O$2:$O$1001,0),0)))</f>
        <v>0</v>
      </c>
      <c r="B237" s="4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4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4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4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4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4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4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4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4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4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OR(AND(IF(metadata!C237="",FALSE,TRUE),OR(exact(metadata!C237,"not applicable"),exact(metadata!C237,"missing: not collected"),exact(metadata!C237,"missing: not provided"),exact(metadata!C237,"missing: restricted access"))),AND(IF(metadata!C237="",FALSE,ISNUMBER(VALUE(metadata!C237))),metadata!C237&gt;0))</f>
        <v>0</v>
      </c>
      <c r="X237">
        <f>AND(IF(metadata!D237="",FALSE,TRUE),exact(metadata!D237,"weeks"))</f>
        <v>0</v>
      </c>
      <c r="Y237">
        <f>AND(IF(metadata!E237="",FALSE,TRUE),exact(metadata!E237,"urban biome"))</f>
        <v>0</v>
      </c>
      <c r="Z237">
        <f>AND(IF(metadata!F237="",FALSE,TRUE),exact(metadata!F237,"animal-associated habitat"))</f>
        <v>0</v>
      </c>
      <c r="AA237">
        <f>AND(IF(metadata!G237="",FALSE,TRUE),exact(metadata!G237,"mouse"))</f>
        <v>0</v>
      </c>
      <c r="AB237">
        <f>AND(IF(metadata!H237="",FALSE,TRUE),exact(metadata!H237,"Mus musculus"))</f>
        <v>0</v>
      </c>
      <c r="AC237">
        <f>AND(IF(metadata!I237="",FALSE,TRUE),exact(metadata!I237,"10090"))</f>
        <v>0</v>
      </c>
      <c r="AD237">
        <f>OR(AND(IF(metadata!J237="",FALSE,TRUE),OR(exact(metadata!J237,"not applicable"),exact(metadata!J237,"missing: not collected"),exact(metadata!J237,"missing: not provided"),exact(metadata!J237,"missing: restricted access"))),AND(IF(metadata!J237="",FALSE,ISNUMBER(VALUE(metadata!J237))),metadata!J237&gt;0))</f>
        <v>0</v>
      </c>
      <c r="AE237">
        <f>AND(IF(metadata!K237="",FALSE,TRUE),exact(metadata!K237,"g"))</f>
        <v>0</v>
      </c>
    </row>
    <row r="238" spans="1:31">
      <c r="A238" s="5">
        <f>IF(B238=" "," ",HYPERLINK(CONCATENATE("#metadata!",ADDRESS(INDEX($Q$2:$Q$1001,MATCH(ROWS($O$2:O238),$O$2:$O$1001,0),0),1)),INDEX($T$2:$T$1001,MATCH(ROWS($O$2:O238),$O$2:$O$1001,0),0)))</f>
        <v>0</v>
      </c>
      <c r="B238" s="4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4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4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4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4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4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4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4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4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4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OR(AND(IF(metadata!C238="",FALSE,TRUE),OR(exact(metadata!C238,"not applicable"),exact(metadata!C238,"missing: not collected"),exact(metadata!C238,"missing: not provided"),exact(metadata!C238,"missing: restricted access"))),AND(IF(metadata!C238="",FALSE,ISNUMBER(VALUE(metadata!C238))),metadata!C238&gt;0))</f>
        <v>0</v>
      </c>
      <c r="X238">
        <f>AND(IF(metadata!D238="",FALSE,TRUE),exact(metadata!D238,"weeks"))</f>
        <v>0</v>
      </c>
      <c r="Y238">
        <f>AND(IF(metadata!E238="",FALSE,TRUE),exact(metadata!E238,"urban biome"))</f>
        <v>0</v>
      </c>
      <c r="Z238">
        <f>AND(IF(metadata!F238="",FALSE,TRUE),exact(metadata!F238,"animal-associated habitat"))</f>
        <v>0</v>
      </c>
      <c r="AA238">
        <f>AND(IF(metadata!G238="",FALSE,TRUE),exact(metadata!G238,"mouse"))</f>
        <v>0</v>
      </c>
      <c r="AB238">
        <f>AND(IF(metadata!H238="",FALSE,TRUE),exact(metadata!H238,"Mus musculus"))</f>
        <v>0</v>
      </c>
      <c r="AC238">
        <f>AND(IF(metadata!I238="",FALSE,TRUE),exact(metadata!I238,"10090"))</f>
        <v>0</v>
      </c>
      <c r="AD238">
        <f>OR(AND(IF(metadata!J238="",FALSE,TRUE),OR(exact(metadata!J238,"not applicable"),exact(metadata!J238,"missing: not collected"),exact(metadata!J238,"missing: not provided"),exact(metadata!J238,"missing: restricted access"))),AND(IF(metadata!J238="",FALSE,ISNUMBER(VALUE(metadata!J238))),metadata!J238&gt;0))</f>
        <v>0</v>
      </c>
      <c r="AE238">
        <f>AND(IF(metadata!K238="",FALSE,TRUE),exact(metadata!K238,"g"))</f>
        <v>0</v>
      </c>
    </row>
    <row r="239" spans="1:31">
      <c r="A239" s="5">
        <f>IF(B239=" "," ",HYPERLINK(CONCATENATE("#metadata!",ADDRESS(INDEX($Q$2:$Q$1001,MATCH(ROWS($O$2:O239),$O$2:$O$1001,0),0),1)),INDEX($T$2:$T$1001,MATCH(ROWS($O$2:O239),$O$2:$O$1001,0),0)))</f>
        <v>0</v>
      </c>
      <c r="B239" s="4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4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4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4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4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4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4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4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4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4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OR(AND(IF(metadata!C239="",FALSE,TRUE),OR(exact(metadata!C239,"not applicable"),exact(metadata!C239,"missing: not collected"),exact(metadata!C239,"missing: not provided"),exact(metadata!C239,"missing: restricted access"))),AND(IF(metadata!C239="",FALSE,ISNUMBER(VALUE(metadata!C239))),metadata!C239&gt;0))</f>
        <v>0</v>
      </c>
      <c r="X239">
        <f>AND(IF(metadata!D239="",FALSE,TRUE),exact(metadata!D239,"weeks"))</f>
        <v>0</v>
      </c>
      <c r="Y239">
        <f>AND(IF(metadata!E239="",FALSE,TRUE),exact(metadata!E239,"urban biome"))</f>
        <v>0</v>
      </c>
      <c r="Z239">
        <f>AND(IF(metadata!F239="",FALSE,TRUE),exact(metadata!F239,"animal-associated habitat"))</f>
        <v>0</v>
      </c>
      <c r="AA239">
        <f>AND(IF(metadata!G239="",FALSE,TRUE),exact(metadata!G239,"mouse"))</f>
        <v>0</v>
      </c>
      <c r="AB239">
        <f>AND(IF(metadata!H239="",FALSE,TRUE),exact(metadata!H239,"Mus musculus"))</f>
        <v>0</v>
      </c>
      <c r="AC239">
        <f>AND(IF(metadata!I239="",FALSE,TRUE),exact(metadata!I239,"10090"))</f>
        <v>0</v>
      </c>
      <c r="AD239">
        <f>OR(AND(IF(metadata!J239="",FALSE,TRUE),OR(exact(metadata!J239,"not applicable"),exact(metadata!J239,"missing: not collected"),exact(metadata!J239,"missing: not provided"),exact(metadata!J239,"missing: restricted access"))),AND(IF(metadata!J239="",FALSE,ISNUMBER(VALUE(metadata!J239))),metadata!J239&gt;0))</f>
        <v>0</v>
      </c>
      <c r="AE239">
        <f>AND(IF(metadata!K239="",FALSE,TRUE),exact(metadata!K239,"g"))</f>
        <v>0</v>
      </c>
    </row>
    <row r="240" spans="1:31">
      <c r="A240" s="5">
        <f>IF(B240=" "," ",HYPERLINK(CONCATENATE("#metadata!",ADDRESS(INDEX($Q$2:$Q$1001,MATCH(ROWS($O$2:O240),$O$2:$O$1001,0),0),1)),INDEX($T$2:$T$1001,MATCH(ROWS($O$2:O240),$O$2:$O$1001,0),0)))</f>
        <v>0</v>
      </c>
      <c r="B240" s="4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4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4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4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4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4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4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4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4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4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OR(AND(IF(metadata!C240="",FALSE,TRUE),OR(exact(metadata!C240,"not applicable"),exact(metadata!C240,"missing: not collected"),exact(metadata!C240,"missing: not provided"),exact(metadata!C240,"missing: restricted access"))),AND(IF(metadata!C240="",FALSE,ISNUMBER(VALUE(metadata!C240))),metadata!C240&gt;0))</f>
        <v>0</v>
      </c>
      <c r="X240">
        <f>AND(IF(metadata!D240="",FALSE,TRUE),exact(metadata!D240,"weeks"))</f>
        <v>0</v>
      </c>
      <c r="Y240">
        <f>AND(IF(metadata!E240="",FALSE,TRUE),exact(metadata!E240,"urban biome"))</f>
        <v>0</v>
      </c>
      <c r="Z240">
        <f>AND(IF(metadata!F240="",FALSE,TRUE),exact(metadata!F240,"animal-associated habitat"))</f>
        <v>0</v>
      </c>
      <c r="AA240">
        <f>AND(IF(metadata!G240="",FALSE,TRUE),exact(metadata!G240,"mouse"))</f>
        <v>0</v>
      </c>
      <c r="AB240">
        <f>AND(IF(metadata!H240="",FALSE,TRUE),exact(metadata!H240,"Mus musculus"))</f>
        <v>0</v>
      </c>
      <c r="AC240">
        <f>AND(IF(metadata!I240="",FALSE,TRUE),exact(metadata!I240,"10090"))</f>
        <v>0</v>
      </c>
      <c r="AD240">
        <f>OR(AND(IF(metadata!J240="",FALSE,TRUE),OR(exact(metadata!J240,"not applicable"),exact(metadata!J240,"missing: not collected"),exact(metadata!J240,"missing: not provided"),exact(metadata!J240,"missing: restricted access"))),AND(IF(metadata!J240="",FALSE,ISNUMBER(VALUE(metadata!J240))),metadata!J240&gt;0))</f>
        <v>0</v>
      </c>
      <c r="AE240">
        <f>AND(IF(metadata!K240="",FALSE,TRUE),exact(metadata!K240,"g"))</f>
        <v>0</v>
      </c>
    </row>
    <row r="241" spans="1:31">
      <c r="A241" s="5">
        <f>IF(B241=" "," ",HYPERLINK(CONCATENATE("#metadata!",ADDRESS(INDEX($Q$2:$Q$1001,MATCH(ROWS($O$2:O241),$O$2:$O$1001,0),0),1)),INDEX($T$2:$T$1001,MATCH(ROWS($O$2:O241),$O$2:$O$1001,0),0)))</f>
        <v>0</v>
      </c>
      <c r="B241" s="4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4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4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4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4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4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4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4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4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4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OR(AND(IF(metadata!C241="",FALSE,TRUE),OR(exact(metadata!C241,"not applicable"),exact(metadata!C241,"missing: not collected"),exact(metadata!C241,"missing: not provided"),exact(metadata!C241,"missing: restricted access"))),AND(IF(metadata!C241="",FALSE,ISNUMBER(VALUE(metadata!C241))),metadata!C241&gt;0))</f>
        <v>0</v>
      </c>
      <c r="X241">
        <f>AND(IF(metadata!D241="",FALSE,TRUE),exact(metadata!D241,"weeks"))</f>
        <v>0</v>
      </c>
      <c r="Y241">
        <f>AND(IF(metadata!E241="",FALSE,TRUE),exact(metadata!E241,"urban biome"))</f>
        <v>0</v>
      </c>
      <c r="Z241">
        <f>AND(IF(metadata!F241="",FALSE,TRUE),exact(metadata!F241,"animal-associated habitat"))</f>
        <v>0</v>
      </c>
      <c r="AA241">
        <f>AND(IF(metadata!G241="",FALSE,TRUE),exact(metadata!G241,"mouse"))</f>
        <v>0</v>
      </c>
      <c r="AB241">
        <f>AND(IF(metadata!H241="",FALSE,TRUE),exact(metadata!H241,"Mus musculus"))</f>
        <v>0</v>
      </c>
      <c r="AC241">
        <f>AND(IF(metadata!I241="",FALSE,TRUE),exact(metadata!I241,"10090"))</f>
        <v>0</v>
      </c>
      <c r="AD241">
        <f>OR(AND(IF(metadata!J241="",FALSE,TRUE),OR(exact(metadata!J241,"not applicable"),exact(metadata!J241,"missing: not collected"),exact(metadata!J241,"missing: not provided"),exact(metadata!J241,"missing: restricted access"))),AND(IF(metadata!J241="",FALSE,ISNUMBER(VALUE(metadata!J241))),metadata!J241&gt;0))</f>
        <v>0</v>
      </c>
      <c r="AE241">
        <f>AND(IF(metadata!K241="",FALSE,TRUE),exact(metadata!K241,"g"))</f>
        <v>0</v>
      </c>
    </row>
    <row r="242" spans="1:31">
      <c r="A242" s="5">
        <f>IF(B242=" "," ",HYPERLINK(CONCATENATE("#metadata!",ADDRESS(INDEX($Q$2:$Q$1001,MATCH(ROWS($O$2:O242),$O$2:$O$1001,0),0),1)),INDEX($T$2:$T$1001,MATCH(ROWS($O$2:O242),$O$2:$O$1001,0),0)))</f>
        <v>0</v>
      </c>
      <c r="B242" s="4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4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4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4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4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4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4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4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4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4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OR(AND(IF(metadata!C242="",FALSE,TRUE),OR(exact(metadata!C242,"not applicable"),exact(metadata!C242,"missing: not collected"),exact(metadata!C242,"missing: not provided"),exact(metadata!C242,"missing: restricted access"))),AND(IF(metadata!C242="",FALSE,ISNUMBER(VALUE(metadata!C242))),metadata!C242&gt;0))</f>
        <v>0</v>
      </c>
      <c r="X242">
        <f>AND(IF(metadata!D242="",FALSE,TRUE),exact(metadata!D242,"weeks"))</f>
        <v>0</v>
      </c>
      <c r="Y242">
        <f>AND(IF(metadata!E242="",FALSE,TRUE),exact(metadata!E242,"urban biome"))</f>
        <v>0</v>
      </c>
      <c r="Z242">
        <f>AND(IF(metadata!F242="",FALSE,TRUE),exact(metadata!F242,"animal-associated habitat"))</f>
        <v>0</v>
      </c>
      <c r="AA242">
        <f>AND(IF(metadata!G242="",FALSE,TRUE),exact(metadata!G242,"mouse"))</f>
        <v>0</v>
      </c>
      <c r="AB242">
        <f>AND(IF(metadata!H242="",FALSE,TRUE),exact(metadata!H242,"Mus musculus"))</f>
        <v>0</v>
      </c>
      <c r="AC242">
        <f>AND(IF(metadata!I242="",FALSE,TRUE),exact(metadata!I242,"10090"))</f>
        <v>0</v>
      </c>
      <c r="AD242">
        <f>OR(AND(IF(metadata!J242="",FALSE,TRUE),OR(exact(metadata!J242,"not applicable"),exact(metadata!J242,"missing: not collected"),exact(metadata!J242,"missing: not provided"),exact(metadata!J242,"missing: restricted access"))),AND(IF(metadata!J242="",FALSE,ISNUMBER(VALUE(metadata!J242))),metadata!J242&gt;0))</f>
        <v>0</v>
      </c>
      <c r="AE242">
        <f>AND(IF(metadata!K242="",FALSE,TRUE),exact(metadata!K242,"g"))</f>
        <v>0</v>
      </c>
    </row>
    <row r="243" spans="1:31">
      <c r="A243" s="5">
        <f>IF(B243=" "," ",HYPERLINK(CONCATENATE("#metadata!",ADDRESS(INDEX($Q$2:$Q$1001,MATCH(ROWS($O$2:O243),$O$2:$O$1001,0),0),1)),INDEX($T$2:$T$1001,MATCH(ROWS($O$2:O243),$O$2:$O$1001,0),0)))</f>
        <v>0</v>
      </c>
      <c r="B243" s="4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4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4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4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4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4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4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4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4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4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OR(AND(IF(metadata!C243="",FALSE,TRUE),OR(exact(metadata!C243,"not applicable"),exact(metadata!C243,"missing: not collected"),exact(metadata!C243,"missing: not provided"),exact(metadata!C243,"missing: restricted access"))),AND(IF(metadata!C243="",FALSE,ISNUMBER(VALUE(metadata!C243))),metadata!C243&gt;0))</f>
        <v>0</v>
      </c>
      <c r="X243">
        <f>AND(IF(metadata!D243="",FALSE,TRUE),exact(metadata!D243,"weeks"))</f>
        <v>0</v>
      </c>
      <c r="Y243">
        <f>AND(IF(metadata!E243="",FALSE,TRUE),exact(metadata!E243,"urban biome"))</f>
        <v>0</v>
      </c>
      <c r="Z243">
        <f>AND(IF(metadata!F243="",FALSE,TRUE),exact(metadata!F243,"animal-associated habitat"))</f>
        <v>0</v>
      </c>
      <c r="AA243">
        <f>AND(IF(metadata!G243="",FALSE,TRUE),exact(metadata!G243,"mouse"))</f>
        <v>0</v>
      </c>
      <c r="AB243">
        <f>AND(IF(metadata!H243="",FALSE,TRUE),exact(metadata!H243,"Mus musculus"))</f>
        <v>0</v>
      </c>
      <c r="AC243">
        <f>AND(IF(metadata!I243="",FALSE,TRUE),exact(metadata!I243,"10090"))</f>
        <v>0</v>
      </c>
      <c r="AD243">
        <f>OR(AND(IF(metadata!J243="",FALSE,TRUE),OR(exact(metadata!J243,"not applicable"),exact(metadata!J243,"missing: not collected"),exact(metadata!J243,"missing: not provided"),exact(metadata!J243,"missing: restricted access"))),AND(IF(metadata!J243="",FALSE,ISNUMBER(VALUE(metadata!J243))),metadata!J243&gt;0))</f>
        <v>0</v>
      </c>
      <c r="AE243">
        <f>AND(IF(metadata!K243="",FALSE,TRUE),exact(metadata!K243,"g"))</f>
        <v>0</v>
      </c>
    </row>
    <row r="244" spans="1:31">
      <c r="A244" s="5">
        <f>IF(B244=" "," ",HYPERLINK(CONCATENATE("#metadata!",ADDRESS(INDEX($Q$2:$Q$1001,MATCH(ROWS($O$2:O244),$O$2:$O$1001,0),0),1)),INDEX($T$2:$T$1001,MATCH(ROWS($O$2:O244),$O$2:$O$1001,0),0)))</f>
        <v>0</v>
      </c>
      <c r="B244" s="4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4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4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4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4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4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4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4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4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4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OR(AND(IF(metadata!C244="",FALSE,TRUE),OR(exact(metadata!C244,"not applicable"),exact(metadata!C244,"missing: not collected"),exact(metadata!C244,"missing: not provided"),exact(metadata!C244,"missing: restricted access"))),AND(IF(metadata!C244="",FALSE,ISNUMBER(VALUE(metadata!C244))),metadata!C244&gt;0))</f>
        <v>0</v>
      </c>
      <c r="X244">
        <f>AND(IF(metadata!D244="",FALSE,TRUE),exact(metadata!D244,"weeks"))</f>
        <v>0</v>
      </c>
      <c r="Y244">
        <f>AND(IF(metadata!E244="",FALSE,TRUE),exact(metadata!E244,"urban biome"))</f>
        <v>0</v>
      </c>
      <c r="Z244">
        <f>AND(IF(metadata!F244="",FALSE,TRUE),exact(metadata!F244,"animal-associated habitat"))</f>
        <v>0</v>
      </c>
      <c r="AA244">
        <f>AND(IF(metadata!G244="",FALSE,TRUE),exact(metadata!G244,"mouse"))</f>
        <v>0</v>
      </c>
      <c r="AB244">
        <f>AND(IF(metadata!H244="",FALSE,TRUE),exact(metadata!H244,"Mus musculus"))</f>
        <v>0</v>
      </c>
      <c r="AC244">
        <f>AND(IF(metadata!I244="",FALSE,TRUE),exact(metadata!I244,"10090"))</f>
        <v>0</v>
      </c>
      <c r="AD244">
        <f>OR(AND(IF(metadata!J244="",FALSE,TRUE),OR(exact(metadata!J244,"not applicable"),exact(metadata!J244,"missing: not collected"),exact(metadata!J244,"missing: not provided"),exact(metadata!J244,"missing: restricted access"))),AND(IF(metadata!J244="",FALSE,ISNUMBER(VALUE(metadata!J244))),metadata!J244&gt;0))</f>
        <v>0</v>
      </c>
      <c r="AE244">
        <f>AND(IF(metadata!K244="",FALSE,TRUE),exact(metadata!K244,"g"))</f>
        <v>0</v>
      </c>
    </row>
    <row r="245" spans="1:31">
      <c r="A245" s="5">
        <f>IF(B245=" "," ",HYPERLINK(CONCATENATE("#metadata!",ADDRESS(INDEX($Q$2:$Q$1001,MATCH(ROWS($O$2:O245),$O$2:$O$1001,0),0),1)),INDEX($T$2:$T$1001,MATCH(ROWS($O$2:O245),$O$2:$O$1001,0),0)))</f>
        <v>0</v>
      </c>
      <c r="B245" s="4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4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4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4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4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4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4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4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4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4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OR(AND(IF(metadata!C245="",FALSE,TRUE),OR(exact(metadata!C245,"not applicable"),exact(metadata!C245,"missing: not collected"),exact(metadata!C245,"missing: not provided"),exact(metadata!C245,"missing: restricted access"))),AND(IF(metadata!C245="",FALSE,ISNUMBER(VALUE(metadata!C245))),metadata!C245&gt;0))</f>
        <v>0</v>
      </c>
      <c r="X245">
        <f>AND(IF(metadata!D245="",FALSE,TRUE),exact(metadata!D245,"weeks"))</f>
        <v>0</v>
      </c>
      <c r="Y245">
        <f>AND(IF(metadata!E245="",FALSE,TRUE),exact(metadata!E245,"urban biome"))</f>
        <v>0</v>
      </c>
      <c r="Z245">
        <f>AND(IF(metadata!F245="",FALSE,TRUE),exact(metadata!F245,"animal-associated habitat"))</f>
        <v>0</v>
      </c>
      <c r="AA245">
        <f>AND(IF(metadata!G245="",FALSE,TRUE),exact(metadata!G245,"mouse"))</f>
        <v>0</v>
      </c>
      <c r="AB245">
        <f>AND(IF(metadata!H245="",FALSE,TRUE),exact(metadata!H245,"Mus musculus"))</f>
        <v>0</v>
      </c>
      <c r="AC245">
        <f>AND(IF(metadata!I245="",FALSE,TRUE),exact(metadata!I245,"10090"))</f>
        <v>0</v>
      </c>
      <c r="AD245">
        <f>OR(AND(IF(metadata!J245="",FALSE,TRUE),OR(exact(metadata!J245,"not applicable"),exact(metadata!J245,"missing: not collected"),exact(metadata!J245,"missing: not provided"),exact(metadata!J245,"missing: restricted access"))),AND(IF(metadata!J245="",FALSE,ISNUMBER(VALUE(metadata!J245))),metadata!J245&gt;0))</f>
        <v>0</v>
      </c>
      <c r="AE245">
        <f>AND(IF(metadata!K245="",FALSE,TRUE),exact(metadata!K245,"g"))</f>
        <v>0</v>
      </c>
    </row>
    <row r="246" spans="1:31">
      <c r="A246" s="5">
        <f>IF(B246=" "," ",HYPERLINK(CONCATENATE("#metadata!",ADDRESS(INDEX($Q$2:$Q$1001,MATCH(ROWS($O$2:O246),$O$2:$O$1001,0),0),1)),INDEX($T$2:$T$1001,MATCH(ROWS($O$2:O246),$O$2:$O$1001,0),0)))</f>
        <v>0</v>
      </c>
      <c r="B246" s="4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4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4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4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4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4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4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4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4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4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OR(AND(IF(metadata!C246="",FALSE,TRUE),OR(exact(metadata!C246,"not applicable"),exact(metadata!C246,"missing: not collected"),exact(metadata!C246,"missing: not provided"),exact(metadata!C246,"missing: restricted access"))),AND(IF(metadata!C246="",FALSE,ISNUMBER(VALUE(metadata!C246))),metadata!C246&gt;0))</f>
        <v>0</v>
      </c>
      <c r="X246">
        <f>AND(IF(metadata!D246="",FALSE,TRUE),exact(metadata!D246,"weeks"))</f>
        <v>0</v>
      </c>
      <c r="Y246">
        <f>AND(IF(metadata!E246="",FALSE,TRUE),exact(metadata!E246,"urban biome"))</f>
        <v>0</v>
      </c>
      <c r="Z246">
        <f>AND(IF(metadata!F246="",FALSE,TRUE),exact(metadata!F246,"animal-associated habitat"))</f>
        <v>0</v>
      </c>
      <c r="AA246">
        <f>AND(IF(metadata!G246="",FALSE,TRUE),exact(metadata!G246,"mouse"))</f>
        <v>0</v>
      </c>
      <c r="AB246">
        <f>AND(IF(metadata!H246="",FALSE,TRUE),exact(metadata!H246,"Mus musculus"))</f>
        <v>0</v>
      </c>
      <c r="AC246">
        <f>AND(IF(metadata!I246="",FALSE,TRUE),exact(metadata!I246,"10090"))</f>
        <v>0</v>
      </c>
      <c r="AD246">
        <f>OR(AND(IF(metadata!J246="",FALSE,TRUE),OR(exact(metadata!J246,"not applicable"),exact(metadata!J246,"missing: not collected"),exact(metadata!J246,"missing: not provided"),exact(metadata!J246,"missing: restricted access"))),AND(IF(metadata!J246="",FALSE,ISNUMBER(VALUE(metadata!J246))),metadata!J246&gt;0))</f>
        <v>0</v>
      </c>
      <c r="AE246">
        <f>AND(IF(metadata!K246="",FALSE,TRUE),exact(metadata!K246,"g"))</f>
        <v>0</v>
      </c>
    </row>
    <row r="247" spans="1:31">
      <c r="A247" s="5">
        <f>IF(B247=" "," ",HYPERLINK(CONCATENATE("#metadata!",ADDRESS(INDEX($Q$2:$Q$1001,MATCH(ROWS($O$2:O247),$O$2:$O$1001,0),0),1)),INDEX($T$2:$T$1001,MATCH(ROWS($O$2:O247),$O$2:$O$1001,0),0)))</f>
        <v>0</v>
      </c>
      <c r="B247" s="4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4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4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4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4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4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4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4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4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4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OR(AND(IF(metadata!C247="",FALSE,TRUE),OR(exact(metadata!C247,"not applicable"),exact(metadata!C247,"missing: not collected"),exact(metadata!C247,"missing: not provided"),exact(metadata!C247,"missing: restricted access"))),AND(IF(metadata!C247="",FALSE,ISNUMBER(VALUE(metadata!C247))),metadata!C247&gt;0))</f>
        <v>0</v>
      </c>
      <c r="X247">
        <f>AND(IF(metadata!D247="",FALSE,TRUE),exact(metadata!D247,"weeks"))</f>
        <v>0</v>
      </c>
      <c r="Y247">
        <f>AND(IF(metadata!E247="",FALSE,TRUE),exact(metadata!E247,"urban biome"))</f>
        <v>0</v>
      </c>
      <c r="Z247">
        <f>AND(IF(metadata!F247="",FALSE,TRUE),exact(metadata!F247,"animal-associated habitat"))</f>
        <v>0</v>
      </c>
      <c r="AA247">
        <f>AND(IF(metadata!G247="",FALSE,TRUE),exact(metadata!G247,"mouse"))</f>
        <v>0</v>
      </c>
      <c r="AB247">
        <f>AND(IF(metadata!H247="",FALSE,TRUE),exact(metadata!H247,"Mus musculus"))</f>
        <v>0</v>
      </c>
      <c r="AC247">
        <f>AND(IF(metadata!I247="",FALSE,TRUE),exact(metadata!I247,"10090"))</f>
        <v>0</v>
      </c>
      <c r="AD247">
        <f>OR(AND(IF(metadata!J247="",FALSE,TRUE),OR(exact(metadata!J247,"not applicable"),exact(metadata!J247,"missing: not collected"),exact(metadata!J247,"missing: not provided"),exact(metadata!J247,"missing: restricted access"))),AND(IF(metadata!J247="",FALSE,ISNUMBER(VALUE(metadata!J247))),metadata!J247&gt;0))</f>
        <v>0</v>
      </c>
      <c r="AE247">
        <f>AND(IF(metadata!K247="",FALSE,TRUE),exact(metadata!K247,"g"))</f>
        <v>0</v>
      </c>
    </row>
    <row r="248" spans="1:31">
      <c r="A248" s="5">
        <f>IF(B248=" "," ",HYPERLINK(CONCATENATE("#metadata!",ADDRESS(INDEX($Q$2:$Q$1001,MATCH(ROWS($O$2:O248),$O$2:$O$1001,0),0),1)),INDEX($T$2:$T$1001,MATCH(ROWS($O$2:O248),$O$2:$O$1001,0),0)))</f>
        <v>0</v>
      </c>
      <c r="B248" s="4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4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4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4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4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4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4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4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4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4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OR(AND(IF(metadata!C248="",FALSE,TRUE),OR(exact(metadata!C248,"not applicable"),exact(metadata!C248,"missing: not collected"),exact(metadata!C248,"missing: not provided"),exact(metadata!C248,"missing: restricted access"))),AND(IF(metadata!C248="",FALSE,ISNUMBER(VALUE(metadata!C248))),metadata!C248&gt;0))</f>
        <v>0</v>
      </c>
      <c r="X248">
        <f>AND(IF(metadata!D248="",FALSE,TRUE),exact(metadata!D248,"weeks"))</f>
        <v>0</v>
      </c>
      <c r="Y248">
        <f>AND(IF(metadata!E248="",FALSE,TRUE),exact(metadata!E248,"urban biome"))</f>
        <v>0</v>
      </c>
      <c r="Z248">
        <f>AND(IF(metadata!F248="",FALSE,TRUE),exact(metadata!F248,"animal-associated habitat"))</f>
        <v>0</v>
      </c>
      <c r="AA248">
        <f>AND(IF(metadata!G248="",FALSE,TRUE),exact(metadata!G248,"mouse"))</f>
        <v>0</v>
      </c>
      <c r="AB248">
        <f>AND(IF(metadata!H248="",FALSE,TRUE),exact(metadata!H248,"Mus musculus"))</f>
        <v>0</v>
      </c>
      <c r="AC248">
        <f>AND(IF(metadata!I248="",FALSE,TRUE),exact(metadata!I248,"10090"))</f>
        <v>0</v>
      </c>
      <c r="AD248">
        <f>OR(AND(IF(metadata!J248="",FALSE,TRUE),OR(exact(metadata!J248,"not applicable"),exact(metadata!J248,"missing: not collected"),exact(metadata!J248,"missing: not provided"),exact(metadata!J248,"missing: restricted access"))),AND(IF(metadata!J248="",FALSE,ISNUMBER(VALUE(metadata!J248))),metadata!J248&gt;0))</f>
        <v>0</v>
      </c>
      <c r="AE248">
        <f>AND(IF(metadata!K248="",FALSE,TRUE),exact(metadata!K248,"g"))</f>
        <v>0</v>
      </c>
    </row>
    <row r="249" spans="1:31">
      <c r="A249" s="5">
        <f>IF(B249=" "," ",HYPERLINK(CONCATENATE("#metadata!",ADDRESS(INDEX($Q$2:$Q$1001,MATCH(ROWS($O$2:O249),$O$2:$O$1001,0),0),1)),INDEX($T$2:$T$1001,MATCH(ROWS($O$2:O249),$O$2:$O$1001,0),0)))</f>
        <v>0</v>
      </c>
      <c r="B249" s="4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4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4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4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4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4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4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4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4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4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OR(AND(IF(metadata!C249="",FALSE,TRUE),OR(exact(metadata!C249,"not applicable"),exact(metadata!C249,"missing: not collected"),exact(metadata!C249,"missing: not provided"),exact(metadata!C249,"missing: restricted access"))),AND(IF(metadata!C249="",FALSE,ISNUMBER(VALUE(metadata!C249))),metadata!C249&gt;0))</f>
        <v>0</v>
      </c>
      <c r="X249">
        <f>AND(IF(metadata!D249="",FALSE,TRUE),exact(metadata!D249,"weeks"))</f>
        <v>0</v>
      </c>
      <c r="Y249">
        <f>AND(IF(metadata!E249="",FALSE,TRUE),exact(metadata!E249,"urban biome"))</f>
        <v>0</v>
      </c>
      <c r="Z249">
        <f>AND(IF(metadata!F249="",FALSE,TRUE),exact(metadata!F249,"animal-associated habitat"))</f>
        <v>0</v>
      </c>
      <c r="AA249">
        <f>AND(IF(metadata!G249="",FALSE,TRUE),exact(metadata!G249,"mouse"))</f>
        <v>0</v>
      </c>
      <c r="AB249">
        <f>AND(IF(metadata!H249="",FALSE,TRUE),exact(metadata!H249,"Mus musculus"))</f>
        <v>0</v>
      </c>
      <c r="AC249">
        <f>AND(IF(metadata!I249="",FALSE,TRUE),exact(metadata!I249,"10090"))</f>
        <v>0</v>
      </c>
      <c r="AD249">
        <f>OR(AND(IF(metadata!J249="",FALSE,TRUE),OR(exact(metadata!J249,"not applicable"),exact(metadata!J249,"missing: not collected"),exact(metadata!J249,"missing: not provided"),exact(metadata!J249,"missing: restricted access"))),AND(IF(metadata!J249="",FALSE,ISNUMBER(VALUE(metadata!J249))),metadata!J249&gt;0))</f>
        <v>0</v>
      </c>
      <c r="AE249">
        <f>AND(IF(metadata!K249="",FALSE,TRUE),exact(metadata!K249,"g"))</f>
        <v>0</v>
      </c>
    </row>
    <row r="250" spans="1:31">
      <c r="A250" s="5">
        <f>IF(B250=" "," ",HYPERLINK(CONCATENATE("#metadata!",ADDRESS(INDEX($Q$2:$Q$1001,MATCH(ROWS($O$2:O250),$O$2:$O$1001,0),0),1)),INDEX($T$2:$T$1001,MATCH(ROWS($O$2:O250),$O$2:$O$1001,0),0)))</f>
        <v>0</v>
      </c>
      <c r="B250" s="4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4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4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4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4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4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4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4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4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4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OR(AND(IF(metadata!C250="",FALSE,TRUE),OR(exact(metadata!C250,"not applicable"),exact(metadata!C250,"missing: not collected"),exact(metadata!C250,"missing: not provided"),exact(metadata!C250,"missing: restricted access"))),AND(IF(metadata!C250="",FALSE,ISNUMBER(VALUE(metadata!C250))),metadata!C250&gt;0))</f>
        <v>0</v>
      </c>
      <c r="X250">
        <f>AND(IF(metadata!D250="",FALSE,TRUE),exact(metadata!D250,"weeks"))</f>
        <v>0</v>
      </c>
      <c r="Y250">
        <f>AND(IF(metadata!E250="",FALSE,TRUE),exact(metadata!E250,"urban biome"))</f>
        <v>0</v>
      </c>
      <c r="Z250">
        <f>AND(IF(metadata!F250="",FALSE,TRUE),exact(metadata!F250,"animal-associated habitat"))</f>
        <v>0</v>
      </c>
      <c r="AA250">
        <f>AND(IF(metadata!G250="",FALSE,TRUE),exact(metadata!G250,"mouse"))</f>
        <v>0</v>
      </c>
      <c r="AB250">
        <f>AND(IF(metadata!H250="",FALSE,TRUE),exact(metadata!H250,"Mus musculus"))</f>
        <v>0</v>
      </c>
      <c r="AC250">
        <f>AND(IF(metadata!I250="",FALSE,TRUE),exact(metadata!I250,"10090"))</f>
        <v>0</v>
      </c>
      <c r="AD250">
        <f>OR(AND(IF(metadata!J250="",FALSE,TRUE),OR(exact(metadata!J250,"not applicable"),exact(metadata!J250,"missing: not collected"),exact(metadata!J250,"missing: not provided"),exact(metadata!J250,"missing: restricted access"))),AND(IF(metadata!J250="",FALSE,ISNUMBER(VALUE(metadata!J250))),metadata!J250&gt;0))</f>
        <v>0</v>
      </c>
      <c r="AE250">
        <f>AND(IF(metadata!K250="",FALSE,TRUE),exact(metadata!K250,"g"))</f>
        <v>0</v>
      </c>
    </row>
    <row r="251" spans="1:31">
      <c r="A251" s="5">
        <f>IF(B251=" "," ",HYPERLINK(CONCATENATE("#metadata!",ADDRESS(INDEX($Q$2:$Q$1001,MATCH(ROWS($O$2:O251),$O$2:$O$1001,0),0),1)),INDEX($T$2:$T$1001,MATCH(ROWS($O$2:O251),$O$2:$O$1001,0),0)))</f>
        <v>0</v>
      </c>
      <c r="B251" s="4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4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4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4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4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4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4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4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4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4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OR(AND(IF(metadata!C251="",FALSE,TRUE),OR(exact(metadata!C251,"not applicable"),exact(metadata!C251,"missing: not collected"),exact(metadata!C251,"missing: not provided"),exact(metadata!C251,"missing: restricted access"))),AND(IF(metadata!C251="",FALSE,ISNUMBER(VALUE(metadata!C251))),metadata!C251&gt;0))</f>
        <v>0</v>
      </c>
      <c r="X251">
        <f>AND(IF(metadata!D251="",FALSE,TRUE),exact(metadata!D251,"weeks"))</f>
        <v>0</v>
      </c>
      <c r="Y251">
        <f>AND(IF(metadata!E251="",FALSE,TRUE),exact(metadata!E251,"urban biome"))</f>
        <v>0</v>
      </c>
      <c r="Z251">
        <f>AND(IF(metadata!F251="",FALSE,TRUE),exact(metadata!F251,"animal-associated habitat"))</f>
        <v>0</v>
      </c>
      <c r="AA251">
        <f>AND(IF(metadata!G251="",FALSE,TRUE),exact(metadata!G251,"mouse"))</f>
        <v>0</v>
      </c>
      <c r="AB251">
        <f>AND(IF(metadata!H251="",FALSE,TRUE),exact(metadata!H251,"Mus musculus"))</f>
        <v>0</v>
      </c>
      <c r="AC251">
        <f>AND(IF(metadata!I251="",FALSE,TRUE),exact(metadata!I251,"10090"))</f>
        <v>0</v>
      </c>
      <c r="AD251">
        <f>OR(AND(IF(metadata!J251="",FALSE,TRUE),OR(exact(metadata!J251,"not applicable"),exact(metadata!J251,"missing: not collected"),exact(metadata!J251,"missing: not provided"),exact(metadata!J251,"missing: restricted access"))),AND(IF(metadata!J251="",FALSE,ISNUMBER(VALUE(metadata!J251))),metadata!J251&gt;0))</f>
        <v>0</v>
      </c>
      <c r="AE251">
        <f>AND(IF(metadata!K251="",FALSE,TRUE),exact(metadata!K251,"g"))</f>
        <v>0</v>
      </c>
    </row>
    <row r="252" spans="1:31">
      <c r="A252" s="5">
        <f>IF(B252=" "," ",HYPERLINK(CONCATENATE("#metadata!",ADDRESS(INDEX($Q$2:$Q$1001,MATCH(ROWS($O$2:O252),$O$2:$O$1001,0),0),1)),INDEX($T$2:$T$1001,MATCH(ROWS($O$2:O252),$O$2:$O$1001,0),0)))</f>
        <v>0</v>
      </c>
      <c r="B252" s="4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4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4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4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4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4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4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4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4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4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OR(AND(IF(metadata!C252="",FALSE,TRUE),OR(exact(metadata!C252,"not applicable"),exact(metadata!C252,"missing: not collected"),exact(metadata!C252,"missing: not provided"),exact(metadata!C252,"missing: restricted access"))),AND(IF(metadata!C252="",FALSE,ISNUMBER(VALUE(metadata!C252))),metadata!C252&gt;0))</f>
        <v>0</v>
      </c>
      <c r="X252">
        <f>AND(IF(metadata!D252="",FALSE,TRUE),exact(metadata!D252,"weeks"))</f>
        <v>0</v>
      </c>
      <c r="Y252">
        <f>AND(IF(metadata!E252="",FALSE,TRUE),exact(metadata!E252,"urban biome"))</f>
        <v>0</v>
      </c>
      <c r="Z252">
        <f>AND(IF(metadata!F252="",FALSE,TRUE),exact(metadata!F252,"animal-associated habitat"))</f>
        <v>0</v>
      </c>
      <c r="AA252">
        <f>AND(IF(metadata!G252="",FALSE,TRUE),exact(metadata!G252,"mouse"))</f>
        <v>0</v>
      </c>
      <c r="AB252">
        <f>AND(IF(metadata!H252="",FALSE,TRUE),exact(metadata!H252,"Mus musculus"))</f>
        <v>0</v>
      </c>
      <c r="AC252">
        <f>AND(IF(metadata!I252="",FALSE,TRUE),exact(metadata!I252,"10090"))</f>
        <v>0</v>
      </c>
      <c r="AD252">
        <f>OR(AND(IF(metadata!J252="",FALSE,TRUE),OR(exact(metadata!J252,"not applicable"),exact(metadata!J252,"missing: not collected"),exact(metadata!J252,"missing: not provided"),exact(metadata!J252,"missing: restricted access"))),AND(IF(metadata!J252="",FALSE,ISNUMBER(VALUE(metadata!J252))),metadata!J252&gt;0))</f>
        <v>0</v>
      </c>
      <c r="AE252">
        <f>AND(IF(metadata!K252="",FALSE,TRUE),exact(metadata!K252,"g"))</f>
        <v>0</v>
      </c>
    </row>
    <row r="253" spans="1:31">
      <c r="A253" s="5">
        <f>IF(B253=" "," ",HYPERLINK(CONCATENATE("#metadata!",ADDRESS(INDEX($Q$2:$Q$1001,MATCH(ROWS($O$2:O253),$O$2:$O$1001,0),0),1)),INDEX($T$2:$T$1001,MATCH(ROWS($O$2:O253),$O$2:$O$1001,0),0)))</f>
        <v>0</v>
      </c>
      <c r="B253" s="4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4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4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4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4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4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4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4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4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4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OR(AND(IF(metadata!C253="",FALSE,TRUE),OR(exact(metadata!C253,"not applicable"),exact(metadata!C253,"missing: not collected"),exact(metadata!C253,"missing: not provided"),exact(metadata!C253,"missing: restricted access"))),AND(IF(metadata!C253="",FALSE,ISNUMBER(VALUE(metadata!C253))),metadata!C253&gt;0))</f>
        <v>0</v>
      </c>
      <c r="X253">
        <f>AND(IF(metadata!D253="",FALSE,TRUE),exact(metadata!D253,"weeks"))</f>
        <v>0</v>
      </c>
      <c r="Y253">
        <f>AND(IF(metadata!E253="",FALSE,TRUE),exact(metadata!E253,"urban biome"))</f>
        <v>0</v>
      </c>
      <c r="Z253">
        <f>AND(IF(metadata!F253="",FALSE,TRUE),exact(metadata!F253,"animal-associated habitat"))</f>
        <v>0</v>
      </c>
      <c r="AA253">
        <f>AND(IF(metadata!G253="",FALSE,TRUE),exact(metadata!G253,"mouse"))</f>
        <v>0</v>
      </c>
      <c r="AB253">
        <f>AND(IF(metadata!H253="",FALSE,TRUE),exact(metadata!H253,"Mus musculus"))</f>
        <v>0</v>
      </c>
      <c r="AC253">
        <f>AND(IF(metadata!I253="",FALSE,TRUE),exact(metadata!I253,"10090"))</f>
        <v>0</v>
      </c>
      <c r="AD253">
        <f>OR(AND(IF(metadata!J253="",FALSE,TRUE),OR(exact(metadata!J253,"not applicable"),exact(metadata!J253,"missing: not collected"),exact(metadata!J253,"missing: not provided"),exact(metadata!J253,"missing: restricted access"))),AND(IF(metadata!J253="",FALSE,ISNUMBER(VALUE(metadata!J253))),metadata!J253&gt;0))</f>
        <v>0</v>
      </c>
      <c r="AE253">
        <f>AND(IF(metadata!K253="",FALSE,TRUE),exact(metadata!K253,"g"))</f>
        <v>0</v>
      </c>
    </row>
    <row r="254" spans="1:31">
      <c r="A254" s="5">
        <f>IF(B254=" "," ",HYPERLINK(CONCATENATE("#metadata!",ADDRESS(INDEX($Q$2:$Q$1001,MATCH(ROWS($O$2:O254),$O$2:$O$1001,0),0),1)),INDEX($T$2:$T$1001,MATCH(ROWS($O$2:O254),$O$2:$O$1001,0),0)))</f>
        <v>0</v>
      </c>
      <c r="B254" s="4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4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4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4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4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4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4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4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4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4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OR(AND(IF(metadata!C254="",FALSE,TRUE),OR(exact(metadata!C254,"not applicable"),exact(metadata!C254,"missing: not collected"),exact(metadata!C254,"missing: not provided"),exact(metadata!C254,"missing: restricted access"))),AND(IF(metadata!C254="",FALSE,ISNUMBER(VALUE(metadata!C254))),metadata!C254&gt;0))</f>
        <v>0</v>
      </c>
      <c r="X254">
        <f>AND(IF(metadata!D254="",FALSE,TRUE),exact(metadata!D254,"weeks"))</f>
        <v>0</v>
      </c>
      <c r="Y254">
        <f>AND(IF(metadata!E254="",FALSE,TRUE),exact(metadata!E254,"urban biome"))</f>
        <v>0</v>
      </c>
      <c r="Z254">
        <f>AND(IF(metadata!F254="",FALSE,TRUE),exact(metadata!F254,"animal-associated habitat"))</f>
        <v>0</v>
      </c>
      <c r="AA254">
        <f>AND(IF(metadata!G254="",FALSE,TRUE),exact(metadata!G254,"mouse"))</f>
        <v>0</v>
      </c>
      <c r="AB254">
        <f>AND(IF(metadata!H254="",FALSE,TRUE),exact(metadata!H254,"Mus musculus"))</f>
        <v>0</v>
      </c>
      <c r="AC254">
        <f>AND(IF(metadata!I254="",FALSE,TRUE),exact(metadata!I254,"10090"))</f>
        <v>0</v>
      </c>
      <c r="AD254">
        <f>OR(AND(IF(metadata!J254="",FALSE,TRUE),OR(exact(metadata!J254,"not applicable"),exact(metadata!J254,"missing: not collected"),exact(metadata!J254,"missing: not provided"),exact(metadata!J254,"missing: restricted access"))),AND(IF(metadata!J254="",FALSE,ISNUMBER(VALUE(metadata!J254))),metadata!J254&gt;0))</f>
        <v>0</v>
      </c>
      <c r="AE254">
        <f>AND(IF(metadata!K254="",FALSE,TRUE),exact(metadata!K254,"g"))</f>
        <v>0</v>
      </c>
    </row>
    <row r="255" spans="1:31">
      <c r="A255" s="5">
        <f>IF(B255=" "," ",HYPERLINK(CONCATENATE("#metadata!",ADDRESS(INDEX($Q$2:$Q$1001,MATCH(ROWS($O$2:O255),$O$2:$O$1001,0),0),1)),INDEX($T$2:$T$1001,MATCH(ROWS($O$2:O255),$O$2:$O$1001,0),0)))</f>
        <v>0</v>
      </c>
      <c r="B255" s="4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4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4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4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4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4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4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4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4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4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OR(AND(IF(metadata!C255="",FALSE,TRUE),OR(exact(metadata!C255,"not applicable"),exact(metadata!C255,"missing: not collected"),exact(metadata!C255,"missing: not provided"),exact(metadata!C255,"missing: restricted access"))),AND(IF(metadata!C255="",FALSE,ISNUMBER(VALUE(metadata!C255))),metadata!C255&gt;0))</f>
        <v>0</v>
      </c>
      <c r="X255">
        <f>AND(IF(metadata!D255="",FALSE,TRUE),exact(metadata!D255,"weeks"))</f>
        <v>0</v>
      </c>
      <c r="Y255">
        <f>AND(IF(metadata!E255="",FALSE,TRUE),exact(metadata!E255,"urban biome"))</f>
        <v>0</v>
      </c>
      <c r="Z255">
        <f>AND(IF(metadata!F255="",FALSE,TRUE),exact(metadata!F255,"animal-associated habitat"))</f>
        <v>0</v>
      </c>
      <c r="AA255">
        <f>AND(IF(metadata!G255="",FALSE,TRUE),exact(metadata!G255,"mouse"))</f>
        <v>0</v>
      </c>
      <c r="AB255">
        <f>AND(IF(metadata!H255="",FALSE,TRUE),exact(metadata!H255,"Mus musculus"))</f>
        <v>0</v>
      </c>
      <c r="AC255">
        <f>AND(IF(metadata!I255="",FALSE,TRUE),exact(metadata!I255,"10090"))</f>
        <v>0</v>
      </c>
      <c r="AD255">
        <f>OR(AND(IF(metadata!J255="",FALSE,TRUE),OR(exact(metadata!J255,"not applicable"),exact(metadata!J255,"missing: not collected"),exact(metadata!J255,"missing: not provided"),exact(metadata!J255,"missing: restricted access"))),AND(IF(metadata!J255="",FALSE,ISNUMBER(VALUE(metadata!J255))),metadata!J255&gt;0))</f>
        <v>0</v>
      </c>
      <c r="AE255">
        <f>AND(IF(metadata!K255="",FALSE,TRUE),exact(metadata!K255,"g"))</f>
        <v>0</v>
      </c>
    </row>
    <row r="256" spans="1:31">
      <c r="A256" s="5">
        <f>IF(B256=" "," ",HYPERLINK(CONCATENATE("#metadata!",ADDRESS(INDEX($Q$2:$Q$1001,MATCH(ROWS($O$2:O256),$O$2:$O$1001,0),0),1)),INDEX($T$2:$T$1001,MATCH(ROWS($O$2:O256),$O$2:$O$1001,0),0)))</f>
        <v>0</v>
      </c>
      <c r="B256" s="4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4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4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4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4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4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4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4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4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4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OR(AND(IF(metadata!C256="",FALSE,TRUE),OR(exact(metadata!C256,"not applicable"),exact(metadata!C256,"missing: not collected"),exact(metadata!C256,"missing: not provided"),exact(metadata!C256,"missing: restricted access"))),AND(IF(metadata!C256="",FALSE,ISNUMBER(VALUE(metadata!C256))),metadata!C256&gt;0))</f>
        <v>0</v>
      </c>
      <c r="X256">
        <f>AND(IF(metadata!D256="",FALSE,TRUE),exact(metadata!D256,"weeks"))</f>
        <v>0</v>
      </c>
      <c r="Y256">
        <f>AND(IF(metadata!E256="",FALSE,TRUE),exact(metadata!E256,"urban biome"))</f>
        <v>0</v>
      </c>
      <c r="Z256">
        <f>AND(IF(metadata!F256="",FALSE,TRUE),exact(metadata!F256,"animal-associated habitat"))</f>
        <v>0</v>
      </c>
      <c r="AA256">
        <f>AND(IF(metadata!G256="",FALSE,TRUE),exact(metadata!G256,"mouse"))</f>
        <v>0</v>
      </c>
      <c r="AB256">
        <f>AND(IF(metadata!H256="",FALSE,TRUE),exact(metadata!H256,"Mus musculus"))</f>
        <v>0</v>
      </c>
      <c r="AC256">
        <f>AND(IF(metadata!I256="",FALSE,TRUE),exact(metadata!I256,"10090"))</f>
        <v>0</v>
      </c>
      <c r="AD256">
        <f>OR(AND(IF(metadata!J256="",FALSE,TRUE),OR(exact(metadata!J256,"not applicable"),exact(metadata!J256,"missing: not collected"),exact(metadata!J256,"missing: not provided"),exact(metadata!J256,"missing: restricted access"))),AND(IF(metadata!J256="",FALSE,ISNUMBER(VALUE(metadata!J256))),metadata!J256&gt;0))</f>
        <v>0</v>
      </c>
      <c r="AE256">
        <f>AND(IF(metadata!K256="",FALSE,TRUE),exact(metadata!K256,"g"))</f>
        <v>0</v>
      </c>
    </row>
    <row r="257" spans="1:31">
      <c r="A257" s="5">
        <f>IF(B257=" "," ",HYPERLINK(CONCATENATE("#metadata!",ADDRESS(INDEX($Q$2:$Q$1001,MATCH(ROWS($O$2:O257),$O$2:$O$1001,0),0),1)),INDEX($T$2:$T$1001,MATCH(ROWS($O$2:O257),$O$2:$O$1001,0),0)))</f>
        <v>0</v>
      </c>
      <c r="B257" s="4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4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4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4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4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4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4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4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4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4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OR(AND(IF(metadata!C257="",FALSE,TRUE),OR(exact(metadata!C257,"not applicable"),exact(metadata!C257,"missing: not collected"),exact(metadata!C257,"missing: not provided"),exact(metadata!C257,"missing: restricted access"))),AND(IF(metadata!C257="",FALSE,ISNUMBER(VALUE(metadata!C257))),metadata!C257&gt;0))</f>
        <v>0</v>
      </c>
      <c r="X257">
        <f>AND(IF(metadata!D257="",FALSE,TRUE),exact(metadata!D257,"weeks"))</f>
        <v>0</v>
      </c>
      <c r="Y257">
        <f>AND(IF(metadata!E257="",FALSE,TRUE),exact(metadata!E257,"urban biome"))</f>
        <v>0</v>
      </c>
      <c r="Z257">
        <f>AND(IF(metadata!F257="",FALSE,TRUE),exact(metadata!F257,"animal-associated habitat"))</f>
        <v>0</v>
      </c>
      <c r="AA257">
        <f>AND(IF(metadata!G257="",FALSE,TRUE),exact(metadata!G257,"mouse"))</f>
        <v>0</v>
      </c>
      <c r="AB257">
        <f>AND(IF(metadata!H257="",FALSE,TRUE),exact(metadata!H257,"Mus musculus"))</f>
        <v>0</v>
      </c>
      <c r="AC257">
        <f>AND(IF(metadata!I257="",FALSE,TRUE),exact(metadata!I257,"10090"))</f>
        <v>0</v>
      </c>
      <c r="AD257">
        <f>OR(AND(IF(metadata!J257="",FALSE,TRUE),OR(exact(metadata!J257,"not applicable"),exact(metadata!J257,"missing: not collected"),exact(metadata!J257,"missing: not provided"),exact(metadata!J257,"missing: restricted access"))),AND(IF(metadata!J257="",FALSE,ISNUMBER(VALUE(metadata!J257))),metadata!J257&gt;0))</f>
        <v>0</v>
      </c>
      <c r="AE257">
        <f>AND(IF(metadata!K257="",FALSE,TRUE),exact(metadata!K257,"g"))</f>
        <v>0</v>
      </c>
    </row>
    <row r="258" spans="1:31">
      <c r="A258" s="5">
        <f>IF(B258=" "," ",HYPERLINK(CONCATENATE("#metadata!",ADDRESS(INDEX($Q$2:$Q$1001,MATCH(ROWS($O$2:O258),$O$2:$O$1001,0),0),1)),INDEX($T$2:$T$1001,MATCH(ROWS($O$2:O258),$O$2:$O$1001,0),0)))</f>
        <v>0</v>
      </c>
      <c r="B258" s="4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4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4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4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4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4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4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4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4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4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OR(AND(IF(metadata!C258="",FALSE,TRUE),OR(exact(metadata!C258,"not applicable"),exact(metadata!C258,"missing: not collected"),exact(metadata!C258,"missing: not provided"),exact(metadata!C258,"missing: restricted access"))),AND(IF(metadata!C258="",FALSE,ISNUMBER(VALUE(metadata!C258))),metadata!C258&gt;0))</f>
        <v>0</v>
      </c>
      <c r="X258">
        <f>AND(IF(metadata!D258="",FALSE,TRUE),exact(metadata!D258,"weeks"))</f>
        <v>0</v>
      </c>
      <c r="Y258">
        <f>AND(IF(metadata!E258="",FALSE,TRUE),exact(metadata!E258,"urban biome"))</f>
        <v>0</v>
      </c>
      <c r="Z258">
        <f>AND(IF(metadata!F258="",FALSE,TRUE),exact(metadata!F258,"animal-associated habitat"))</f>
        <v>0</v>
      </c>
      <c r="AA258">
        <f>AND(IF(metadata!G258="",FALSE,TRUE),exact(metadata!G258,"mouse"))</f>
        <v>0</v>
      </c>
      <c r="AB258">
        <f>AND(IF(metadata!H258="",FALSE,TRUE),exact(metadata!H258,"Mus musculus"))</f>
        <v>0</v>
      </c>
      <c r="AC258">
        <f>AND(IF(metadata!I258="",FALSE,TRUE),exact(metadata!I258,"10090"))</f>
        <v>0</v>
      </c>
      <c r="AD258">
        <f>OR(AND(IF(metadata!J258="",FALSE,TRUE),OR(exact(metadata!J258,"not applicable"),exact(metadata!J258,"missing: not collected"),exact(metadata!J258,"missing: not provided"),exact(metadata!J258,"missing: restricted access"))),AND(IF(metadata!J258="",FALSE,ISNUMBER(VALUE(metadata!J258))),metadata!J258&gt;0))</f>
        <v>0</v>
      </c>
      <c r="AE258">
        <f>AND(IF(metadata!K258="",FALSE,TRUE),exact(metadata!K258,"g"))</f>
        <v>0</v>
      </c>
    </row>
    <row r="259" spans="1:31">
      <c r="A259" s="5">
        <f>IF(B259=" "," ",HYPERLINK(CONCATENATE("#metadata!",ADDRESS(INDEX($Q$2:$Q$1001,MATCH(ROWS($O$2:O259),$O$2:$O$1001,0),0),1)),INDEX($T$2:$T$1001,MATCH(ROWS($O$2:O259),$O$2:$O$1001,0),0)))</f>
        <v>0</v>
      </c>
      <c r="B259" s="4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4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4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4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4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4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4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4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4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4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OR(AND(IF(metadata!C259="",FALSE,TRUE),OR(exact(metadata!C259,"not applicable"),exact(metadata!C259,"missing: not collected"),exact(metadata!C259,"missing: not provided"),exact(metadata!C259,"missing: restricted access"))),AND(IF(metadata!C259="",FALSE,ISNUMBER(VALUE(metadata!C259))),metadata!C259&gt;0))</f>
        <v>0</v>
      </c>
      <c r="X259">
        <f>AND(IF(metadata!D259="",FALSE,TRUE),exact(metadata!D259,"weeks"))</f>
        <v>0</v>
      </c>
      <c r="Y259">
        <f>AND(IF(metadata!E259="",FALSE,TRUE),exact(metadata!E259,"urban biome"))</f>
        <v>0</v>
      </c>
      <c r="Z259">
        <f>AND(IF(metadata!F259="",FALSE,TRUE),exact(metadata!F259,"animal-associated habitat"))</f>
        <v>0</v>
      </c>
      <c r="AA259">
        <f>AND(IF(metadata!G259="",FALSE,TRUE),exact(metadata!G259,"mouse"))</f>
        <v>0</v>
      </c>
      <c r="AB259">
        <f>AND(IF(metadata!H259="",FALSE,TRUE),exact(metadata!H259,"Mus musculus"))</f>
        <v>0</v>
      </c>
      <c r="AC259">
        <f>AND(IF(metadata!I259="",FALSE,TRUE),exact(metadata!I259,"10090"))</f>
        <v>0</v>
      </c>
      <c r="AD259">
        <f>OR(AND(IF(metadata!J259="",FALSE,TRUE),OR(exact(metadata!J259,"not applicable"),exact(metadata!J259,"missing: not collected"),exact(metadata!J259,"missing: not provided"),exact(metadata!J259,"missing: restricted access"))),AND(IF(metadata!J259="",FALSE,ISNUMBER(VALUE(metadata!J259))),metadata!J259&gt;0))</f>
        <v>0</v>
      </c>
      <c r="AE259">
        <f>AND(IF(metadata!K259="",FALSE,TRUE),exact(metadata!K259,"g"))</f>
        <v>0</v>
      </c>
    </row>
    <row r="260" spans="1:31">
      <c r="A260" s="5">
        <f>IF(B260=" "," ",HYPERLINK(CONCATENATE("#metadata!",ADDRESS(INDEX($Q$2:$Q$1001,MATCH(ROWS($O$2:O260),$O$2:$O$1001,0),0),1)),INDEX($T$2:$T$1001,MATCH(ROWS($O$2:O260),$O$2:$O$1001,0),0)))</f>
        <v>0</v>
      </c>
      <c r="B260" s="4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4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4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4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4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4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4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4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4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4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OR(AND(IF(metadata!C260="",FALSE,TRUE),OR(exact(metadata!C260,"not applicable"),exact(metadata!C260,"missing: not collected"),exact(metadata!C260,"missing: not provided"),exact(metadata!C260,"missing: restricted access"))),AND(IF(metadata!C260="",FALSE,ISNUMBER(VALUE(metadata!C260))),metadata!C260&gt;0))</f>
        <v>0</v>
      </c>
      <c r="X260">
        <f>AND(IF(metadata!D260="",FALSE,TRUE),exact(metadata!D260,"weeks"))</f>
        <v>0</v>
      </c>
      <c r="Y260">
        <f>AND(IF(metadata!E260="",FALSE,TRUE),exact(metadata!E260,"urban biome"))</f>
        <v>0</v>
      </c>
      <c r="Z260">
        <f>AND(IF(metadata!F260="",FALSE,TRUE),exact(metadata!F260,"animal-associated habitat"))</f>
        <v>0</v>
      </c>
      <c r="AA260">
        <f>AND(IF(metadata!G260="",FALSE,TRUE),exact(metadata!G260,"mouse"))</f>
        <v>0</v>
      </c>
      <c r="AB260">
        <f>AND(IF(metadata!H260="",FALSE,TRUE),exact(metadata!H260,"Mus musculus"))</f>
        <v>0</v>
      </c>
      <c r="AC260">
        <f>AND(IF(metadata!I260="",FALSE,TRUE),exact(metadata!I260,"10090"))</f>
        <v>0</v>
      </c>
      <c r="AD260">
        <f>OR(AND(IF(metadata!J260="",FALSE,TRUE),OR(exact(metadata!J260,"not applicable"),exact(metadata!J260,"missing: not collected"),exact(metadata!J260,"missing: not provided"),exact(metadata!J260,"missing: restricted access"))),AND(IF(metadata!J260="",FALSE,ISNUMBER(VALUE(metadata!J260))),metadata!J260&gt;0))</f>
        <v>0</v>
      </c>
      <c r="AE260">
        <f>AND(IF(metadata!K260="",FALSE,TRUE),exact(metadata!K260,"g"))</f>
        <v>0</v>
      </c>
    </row>
    <row r="261" spans="1:31">
      <c r="A261" s="5">
        <f>IF(B261=" "," ",HYPERLINK(CONCATENATE("#metadata!",ADDRESS(INDEX($Q$2:$Q$1001,MATCH(ROWS($O$2:O261),$O$2:$O$1001,0),0),1)),INDEX($T$2:$T$1001,MATCH(ROWS($O$2:O261),$O$2:$O$1001,0),0)))</f>
        <v>0</v>
      </c>
      <c r="B261" s="4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4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4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4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4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4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4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4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4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4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OR(AND(IF(metadata!C261="",FALSE,TRUE),OR(exact(metadata!C261,"not applicable"),exact(metadata!C261,"missing: not collected"),exact(metadata!C261,"missing: not provided"),exact(metadata!C261,"missing: restricted access"))),AND(IF(metadata!C261="",FALSE,ISNUMBER(VALUE(metadata!C261))),metadata!C261&gt;0))</f>
        <v>0</v>
      </c>
      <c r="X261">
        <f>AND(IF(metadata!D261="",FALSE,TRUE),exact(metadata!D261,"weeks"))</f>
        <v>0</v>
      </c>
      <c r="Y261">
        <f>AND(IF(metadata!E261="",FALSE,TRUE),exact(metadata!E261,"urban biome"))</f>
        <v>0</v>
      </c>
      <c r="Z261">
        <f>AND(IF(metadata!F261="",FALSE,TRUE),exact(metadata!F261,"animal-associated habitat"))</f>
        <v>0</v>
      </c>
      <c r="AA261">
        <f>AND(IF(metadata!G261="",FALSE,TRUE),exact(metadata!G261,"mouse"))</f>
        <v>0</v>
      </c>
      <c r="AB261">
        <f>AND(IF(metadata!H261="",FALSE,TRUE),exact(metadata!H261,"Mus musculus"))</f>
        <v>0</v>
      </c>
      <c r="AC261">
        <f>AND(IF(metadata!I261="",FALSE,TRUE),exact(metadata!I261,"10090"))</f>
        <v>0</v>
      </c>
      <c r="AD261">
        <f>OR(AND(IF(metadata!J261="",FALSE,TRUE),OR(exact(metadata!J261,"not applicable"),exact(metadata!J261,"missing: not collected"),exact(metadata!J261,"missing: not provided"),exact(metadata!J261,"missing: restricted access"))),AND(IF(metadata!J261="",FALSE,ISNUMBER(VALUE(metadata!J261))),metadata!J261&gt;0))</f>
        <v>0</v>
      </c>
      <c r="AE261">
        <f>AND(IF(metadata!K261="",FALSE,TRUE),exact(metadata!K261,"g"))</f>
        <v>0</v>
      </c>
    </row>
    <row r="262" spans="1:31">
      <c r="A262" s="5">
        <f>IF(B262=" "," ",HYPERLINK(CONCATENATE("#metadata!",ADDRESS(INDEX($Q$2:$Q$1001,MATCH(ROWS($O$2:O262),$O$2:$O$1001,0),0),1)),INDEX($T$2:$T$1001,MATCH(ROWS($O$2:O262),$O$2:$O$1001,0),0)))</f>
        <v>0</v>
      </c>
      <c r="B262" s="4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4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4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4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4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4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4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4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4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4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OR(AND(IF(metadata!C262="",FALSE,TRUE),OR(exact(metadata!C262,"not applicable"),exact(metadata!C262,"missing: not collected"),exact(metadata!C262,"missing: not provided"),exact(metadata!C262,"missing: restricted access"))),AND(IF(metadata!C262="",FALSE,ISNUMBER(VALUE(metadata!C262))),metadata!C262&gt;0))</f>
        <v>0</v>
      </c>
      <c r="X262">
        <f>AND(IF(metadata!D262="",FALSE,TRUE),exact(metadata!D262,"weeks"))</f>
        <v>0</v>
      </c>
      <c r="Y262">
        <f>AND(IF(metadata!E262="",FALSE,TRUE),exact(metadata!E262,"urban biome"))</f>
        <v>0</v>
      </c>
      <c r="Z262">
        <f>AND(IF(metadata!F262="",FALSE,TRUE),exact(metadata!F262,"animal-associated habitat"))</f>
        <v>0</v>
      </c>
      <c r="AA262">
        <f>AND(IF(metadata!G262="",FALSE,TRUE),exact(metadata!G262,"mouse"))</f>
        <v>0</v>
      </c>
      <c r="AB262">
        <f>AND(IF(metadata!H262="",FALSE,TRUE),exact(metadata!H262,"Mus musculus"))</f>
        <v>0</v>
      </c>
      <c r="AC262">
        <f>AND(IF(metadata!I262="",FALSE,TRUE),exact(metadata!I262,"10090"))</f>
        <v>0</v>
      </c>
      <c r="AD262">
        <f>OR(AND(IF(metadata!J262="",FALSE,TRUE),OR(exact(metadata!J262,"not applicable"),exact(metadata!J262,"missing: not collected"),exact(metadata!J262,"missing: not provided"),exact(metadata!J262,"missing: restricted access"))),AND(IF(metadata!J262="",FALSE,ISNUMBER(VALUE(metadata!J262))),metadata!J262&gt;0))</f>
        <v>0</v>
      </c>
      <c r="AE262">
        <f>AND(IF(metadata!K262="",FALSE,TRUE),exact(metadata!K262,"g"))</f>
        <v>0</v>
      </c>
    </row>
    <row r="263" spans="1:31">
      <c r="A263" s="5">
        <f>IF(B263=" "," ",HYPERLINK(CONCATENATE("#metadata!",ADDRESS(INDEX($Q$2:$Q$1001,MATCH(ROWS($O$2:O263),$O$2:$O$1001,0),0),1)),INDEX($T$2:$T$1001,MATCH(ROWS($O$2:O263),$O$2:$O$1001,0),0)))</f>
        <v>0</v>
      </c>
      <c r="B263" s="4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4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4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4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4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4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4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4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4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4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OR(AND(IF(metadata!C263="",FALSE,TRUE),OR(exact(metadata!C263,"not applicable"),exact(metadata!C263,"missing: not collected"),exact(metadata!C263,"missing: not provided"),exact(metadata!C263,"missing: restricted access"))),AND(IF(metadata!C263="",FALSE,ISNUMBER(VALUE(metadata!C263))),metadata!C263&gt;0))</f>
        <v>0</v>
      </c>
      <c r="X263">
        <f>AND(IF(metadata!D263="",FALSE,TRUE),exact(metadata!D263,"weeks"))</f>
        <v>0</v>
      </c>
      <c r="Y263">
        <f>AND(IF(metadata!E263="",FALSE,TRUE),exact(metadata!E263,"urban biome"))</f>
        <v>0</v>
      </c>
      <c r="Z263">
        <f>AND(IF(metadata!F263="",FALSE,TRUE),exact(metadata!F263,"animal-associated habitat"))</f>
        <v>0</v>
      </c>
      <c r="AA263">
        <f>AND(IF(metadata!G263="",FALSE,TRUE),exact(metadata!G263,"mouse"))</f>
        <v>0</v>
      </c>
      <c r="AB263">
        <f>AND(IF(metadata!H263="",FALSE,TRUE),exact(metadata!H263,"Mus musculus"))</f>
        <v>0</v>
      </c>
      <c r="AC263">
        <f>AND(IF(metadata!I263="",FALSE,TRUE),exact(metadata!I263,"10090"))</f>
        <v>0</v>
      </c>
      <c r="AD263">
        <f>OR(AND(IF(metadata!J263="",FALSE,TRUE),OR(exact(metadata!J263,"not applicable"),exact(metadata!J263,"missing: not collected"),exact(metadata!J263,"missing: not provided"),exact(metadata!J263,"missing: restricted access"))),AND(IF(metadata!J263="",FALSE,ISNUMBER(VALUE(metadata!J263))),metadata!J263&gt;0))</f>
        <v>0</v>
      </c>
      <c r="AE263">
        <f>AND(IF(metadata!K263="",FALSE,TRUE),exact(metadata!K263,"g"))</f>
        <v>0</v>
      </c>
    </row>
    <row r="264" spans="1:31">
      <c r="A264" s="5">
        <f>IF(B264=" "," ",HYPERLINK(CONCATENATE("#metadata!",ADDRESS(INDEX($Q$2:$Q$1001,MATCH(ROWS($O$2:O264),$O$2:$O$1001,0),0),1)),INDEX($T$2:$T$1001,MATCH(ROWS($O$2:O264),$O$2:$O$1001,0),0)))</f>
        <v>0</v>
      </c>
      <c r="B264" s="4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4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4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4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4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4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4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4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4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4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OR(AND(IF(metadata!C264="",FALSE,TRUE),OR(exact(metadata!C264,"not applicable"),exact(metadata!C264,"missing: not collected"),exact(metadata!C264,"missing: not provided"),exact(metadata!C264,"missing: restricted access"))),AND(IF(metadata!C264="",FALSE,ISNUMBER(VALUE(metadata!C264))),metadata!C264&gt;0))</f>
        <v>0</v>
      </c>
      <c r="X264">
        <f>AND(IF(metadata!D264="",FALSE,TRUE),exact(metadata!D264,"weeks"))</f>
        <v>0</v>
      </c>
      <c r="Y264">
        <f>AND(IF(metadata!E264="",FALSE,TRUE),exact(metadata!E264,"urban biome"))</f>
        <v>0</v>
      </c>
      <c r="Z264">
        <f>AND(IF(metadata!F264="",FALSE,TRUE),exact(metadata!F264,"animal-associated habitat"))</f>
        <v>0</v>
      </c>
      <c r="AA264">
        <f>AND(IF(metadata!G264="",FALSE,TRUE),exact(metadata!G264,"mouse"))</f>
        <v>0</v>
      </c>
      <c r="AB264">
        <f>AND(IF(metadata!H264="",FALSE,TRUE),exact(metadata!H264,"Mus musculus"))</f>
        <v>0</v>
      </c>
      <c r="AC264">
        <f>AND(IF(metadata!I264="",FALSE,TRUE),exact(metadata!I264,"10090"))</f>
        <v>0</v>
      </c>
      <c r="AD264">
        <f>OR(AND(IF(metadata!J264="",FALSE,TRUE),OR(exact(metadata!J264,"not applicable"),exact(metadata!J264,"missing: not collected"),exact(metadata!J264,"missing: not provided"),exact(metadata!J264,"missing: restricted access"))),AND(IF(metadata!J264="",FALSE,ISNUMBER(VALUE(metadata!J264))),metadata!J264&gt;0))</f>
        <v>0</v>
      </c>
      <c r="AE264">
        <f>AND(IF(metadata!K264="",FALSE,TRUE),exact(metadata!K264,"g"))</f>
        <v>0</v>
      </c>
    </row>
    <row r="265" spans="1:31">
      <c r="A265" s="5">
        <f>IF(B265=" "," ",HYPERLINK(CONCATENATE("#metadata!",ADDRESS(INDEX($Q$2:$Q$1001,MATCH(ROWS($O$2:O265),$O$2:$O$1001,0),0),1)),INDEX($T$2:$T$1001,MATCH(ROWS($O$2:O265),$O$2:$O$1001,0),0)))</f>
        <v>0</v>
      </c>
      <c r="B265" s="4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4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4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4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4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4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4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4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4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4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OR(AND(IF(metadata!C265="",FALSE,TRUE),OR(exact(metadata!C265,"not applicable"),exact(metadata!C265,"missing: not collected"),exact(metadata!C265,"missing: not provided"),exact(metadata!C265,"missing: restricted access"))),AND(IF(metadata!C265="",FALSE,ISNUMBER(VALUE(metadata!C265))),metadata!C265&gt;0))</f>
        <v>0</v>
      </c>
      <c r="X265">
        <f>AND(IF(metadata!D265="",FALSE,TRUE),exact(metadata!D265,"weeks"))</f>
        <v>0</v>
      </c>
      <c r="Y265">
        <f>AND(IF(metadata!E265="",FALSE,TRUE),exact(metadata!E265,"urban biome"))</f>
        <v>0</v>
      </c>
      <c r="Z265">
        <f>AND(IF(metadata!F265="",FALSE,TRUE),exact(metadata!F265,"animal-associated habitat"))</f>
        <v>0</v>
      </c>
      <c r="AA265">
        <f>AND(IF(metadata!G265="",FALSE,TRUE),exact(metadata!G265,"mouse"))</f>
        <v>0</v>
      </c>
      <c r="AB265">
        <f>AND(IF(metadata!H265="",FALSE,TRUE),exact(metadata!H265,"Mus musculus"))</f>
        <v>0</v>
      </c>
      <c r="AC265">
        <f>AND(IF(metadata!I265="",FALSE,TRUE),exact(metadata!I265,"10090"))</f>
        <v>0</v>
      </c>
      <c r="AD265">
        <f>OR(AND(IF(metadata!J265="",FALSE,TRUE),OR(exact(metadata!J265,"not applicable"),exact(metadata!J265,"missing: not collected"),exact(metadata!J265,"missing: not provided"),exact(metadata!J265,"missing: restricted access"))),AND(IF(metadata!J265="",FALSE,ISNUMBER(VALUE(metadata!J265))),metadata!J265&gt;0))</f>
        <v>0</v>
      </c>
      <c r="AE265">
        <f>AND(IF(metadata!K265="",FALSE,TRUE),exact(metadata!K265,"g"))</f>
        <v>0</v>
      </c>
    </row>
    <row r="266" spans="1:31">
      <c r="A266" s="5">
        <f>IF(B266=" "," ",HYPERLINK(CONCATENATE("#metadata!",ADDRESS(INDEX($Q$2:$Q$1001,MATCH(ROWS($O$2:O266),$O$2:$O$1001,0),0),1)),INDEX($T$2:$T$1001,MATCH(ROWS($O$2:O266),$O$2:$O$1001,0),0)))</f>
        <v>0</v>
      </c>
      <c r="B266" s="4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4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4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4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4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4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4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4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4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4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OR(AND(IF(metadata!C266="",FALSE,TRUE),OR(exact(metadata!C266,"not applicable"),exact(metadata!C266,"missing: not collected"),exact(metadata!C266,"missing: not provided"),exact(metadata!C266,"missing: restricted access"))),AND(IF(metadata!C266="",FALSE,ISNUMBER(VALUE(metadata!C266))),metadata!C266&gt;0))</f>
        <v>0</v>
      </c>
      <c r="X266">
        <f>AND(IF(metadata!D266="",FALSE,TRUE),exact(metadata!D266,"weeks"))</f>
        <v>0</v>
      </c>
      <c r="Y266">
        <f>AND(IF(metadata!E266="",FALSE,TRUE),exact(metadata!E266,"urban biome"))</f>
        <v>0</v>
      </c>
      <c r="Z266">
        <f>AND(IF(metadata!F266="",FALSE,TRUE),exact(metadata!F266,"animal-associated habitat"))</f>
        <v>0</v>
      </c>
      <c r="AA266">
        <f>AND(IF(metadata!G266="",FALSE,TRUE),exact(metadata!G266,"mouse"))</f>
        <v>0</v>
      </c>
      <c r="AB266">
        <f>AND(IF(metadata!H266="",FALSE,TRUE),exact(metadata!H266,"Mus musculus"))</f>
        <v>0</v>
      </c>
      <c r="AC266">
        <f>AND(IF(metadata!I266="",FALSE,TRUE),exact(metadata!I266,"10090"))</f>
        <v>0</v>
      </c>
      <c r="AD266">
        <f>OR(AND(IF(metadata!J266="",FALSE,TRUE),OR(exact(metadata!J266,"not applicable"),exact(metadata!J266,"missing: not collected"),exact(metadata!J266,"missing: not provided"),exact(metadata!J266,"missing: restricted access"))),AND(IF(metadata!J266="",FALSE,ISNUMBER(VALUE(metadata!J266))),metadata!J266&gt;0))</f>
        <v>0</v>
      </c>
      <c r="AE266">
        <f>AND(IF(metadata!K266="",FALSE,TRUE),exact(metadata!K266,"g"))</f>
        <v>0</v>
      </c>
    </row>
    <row r="267" spans="1:31">
      <c r="A267" s="5">
        <f>IF(B267=" "," ",HYPERLINK(CONCATENATE("#metadata!",ADDRESS(INDEX($Q$2:$Q$1001,MATCH(ROWS($O$2:O267),$O$2:$O$1001,0),0),1)),INDEX($T$2:$T$1001,MATCH(ROWS($O$2:O267),$O$2:$O$1001,0),0)))</f>
        <v>0</v>
      </c>
      <c r="B267" s="4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4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4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4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4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4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4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4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4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4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OR(AND(IF(metadata!C267="",FALSE,TRUE),OR(exact(metadata!C267,"not applicable"),exact(metadata!C267,"missing: not collected"),exact(metadata!C267,"missing: not provided"),exact(metadata!C267,"missing: restricted access"))),AND(IF(metadata!C267="",FALSE,ISNUMBER(VALUE(metadata!C267))),metadata!C267&gt;0))</f>
        <v>0</v>
      </c>
      <c r="X267">
        <f>AND(IF(metadata!D267="",FALSE,TRUE),exact(metadata!D267,"weeks"))</f>
        <v>0</v>
      </c>
      <c r="Y267">
        <f>AND(IF(metadata!E267="",FALSE,TRUE),exact(metadata!E267,"urban biome"))</f>
        <v>0</v>
      </c>
      <c r="Z267">
        <f>AND(IF(metadata!F267="",FALSE,TRUE),exact(metadata!F267,"animal-associated habitat"))</f>
        <v>0</v>
      </c>
      <c r="AA267">
        <f>AND(IF(metadata!G267="",FALSE,TRUE),exact(metadata!G267,"mouse"))</f>
        <v>0</v>
      </c>
      <c r="AB267">
        <f>AND(IF(metadata!H267="",FALSE,TRUE),exact(metadata!H267,"Mus musculus"))</f>
        <v>0</v>
      </c>
      <c r="AC267">
        <f>AND(IF(metadata!I267="",FALSE,TRUE),exact(metadata!I267,"10090"))</f>
        <v>0</v>
      </c>
      <c r="AD267">
        <f>OR(AND(IF(metadata!J267="",FALSE,TRUE),OR(exact(metadata!J267,"not applicable"),exact(metadata!J267,"missing: not collected"),exact(metadata!J267,"missing: not provided"),exact(metadata!J267,"missing: restricted access"))),AND(IF(metadata!J267="",FALSE,ISNUMBER(VALUE(metadata!J267))),metadata!J267&gt;0))</f>
        <v>0</v>
      </c>
      <c r="AE267">
        <f>AND(IF(metadata!K267="",FALSE,TRUE),exact(metadata!K267,"g"))</f>
        <v>0</v>
      </c>
    </row>
    <row r="268" spans="1:31">
      <c r="A268" s="5">
        <f>IF(B268=" "," ",HYPERLINK(CONCATENATE("#metadata!",ADDRESS(INDEX($Q$2:$Q$1001,MATCH(ROWS($O$2:O268),$O$2:$O$1001,0),0),1)),INDEX($T$2:$T$1001,MATCH(ROWS($O$2:O268),$O$2:$O$1001,0),0)))</f>
        <v>0</v>
      </c>
      <c r="B268" s="4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4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4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4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4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4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4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4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4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4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OR(AND(IF(metadata!C268="",FALSE,TRUE),OR(exact(metadata!C268,"not applicable"),exact(metadata!C268,"missing: not collected"),exact(metadata!C268,"missing: not provided"),exact(metadata!C268,"missing: restricted access"))),AND(IF(metadata!C268="",FALSE,ISNUMBER(VALUE(metadata!C268))),metadata!C268&gt;0))</f>
        <v>0</v>
      </c>
      <c r="X268">
        <f>AND(IF(metadata!D268="",FALSE,TRUE),exact(metadata!D268,"weeks"))</f>
        <v>0</v>
      </c>
      <c r="Y268">
        <f>AND(IF(metadata!E268="",FALSE,TRUE),exact(metadata!E268,"urban biome"))</f>
        <v>0</v>
      </c>
      <c r="Z268">
        <f>AND(IF(metadata!F268="",FALSE,TRUE),exact(metadata!F268,"animal-associated habitat"))</f>
        <v>0</v>
      </c>
      <c r="AA268">
        <f>AND(IF(metadata!G268="",FALSE,TRUE),exact(metadata!G268,"mouse"))</f>
        <v>0</v>
      </c>
      <c r="AB268">
        <f>AND(IF(metadata!H268="",FALSE,TRUE),exact(metadata!H268,"Mus musculus"))</f>
        <v>0</v>
      </c>
      <c r="AC268">
        <f>AND(IF(metadata!I268="",FALSE,TRUE),exact(metadata!I268,"10090"))</f>
        <v>0</v>
      </c>
      <c r="AD268">
        <f>OR(AND(IF(metadata!J268="",FALSE,TRUE),OR(exact(metadata!J268,"not applicable"),exact(metadata!J268,"missing: not collected"),exact(metadata!J268,"missing: not provided"),exact(metadata!J268,"missing: restricted access"))),AND(IF(metadata!J268="",FALSE,ISNUMBER(VALUE(metadata!J268))),metadata!J268&gt;0))</f>
        <v>0</v>
      </c>
      <c r="AE268">
        <f>AND(IF(metadata!K268="",FALSE,TRUE),exact(metadata!K268,"g"))</f>
        <v>0</v>
      </c>
    </row>
    <row r="269" spans="1:31">
      <c r="A269" s="5">
        <f>IF(B269=" "," ",HYPERLINK(CONCATENATE("#metadata!",ADDRESS(INDEX($Q$2:$Q$1001,MATCH(ROWS($O$2:O269),$O$2:$O$1001,0),0),1)),INDEX($T$2:$T$1001,MATCH(ROWS($O$2:O269),$O$2:$O$1001,0),0)))</f>
        <v>0</v>
      </c>
      <c r="B269" s="4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4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4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4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4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4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4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4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4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4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OR(AND(IF(metadata!C269="",FALSE,TRUE),OR(exact(metadata!C269,"not applicable"),exact(metadata!C269,"missing: not collected"),exact(metadata!C269,"missing: not provided"),exact(metadata!C269,"missing: restricted access"))),AND(IF(metadata!C269="",FALSE,ISNUMBER(VALUE(metadata!C269))),metadata!C269&gt;0))</f>
        <v>0</v>
      </c>
      <c r="X269">
        <f>AND(IF(metadata!D269="",FALSE,TRUE),exact(metadata!D269,"weeks"))</f>
        <v>0</v>
      </c>
      <c r="Y269">
        <f>AND(IF(metadata!E269="",FALSE,TRUE),exact(metadata!E269,"urban biome"))</f>
        <v>0</v>
      </c>
      <c r="Z269">
        <f>AND(IF(metadata!F269="",FALSE,TRUE),exact(metadata!F269,"animal-associated habitat"))</f>
        <v>0</v>
      </c>
      <c r="AA269">
        <f>AND(IF(metadata!G269="",FALSE,TRUE),exact(metadata!G269,"mouse"))</f>
        <v>0</v>
      </c>
      <c r="AB269">
        <f>AND(IF(metadata!H269="",FALSE,TRUE),exact(metadata!H269,"Mus musculus"))</f>
        <v>0</v>
      </c>
      <c r="AC269">
        <f>AND(IF(metadata!I269="",FALSE,TRUE),exact(metadata!I269,"10090"))</f>
        <v>0</v>
      </c>
      <c r="AD269">
        <f>OR(AND(IF(metadata!J269="",FALSE,TRUE),OR(exact(metadata!J269,"not applicable"),exact(metadata!J269,"missing: not collected"),exact(metadata!J269,"missing: not provided"),exact(metadata!J269,"missing: restricted access"))),AND(IF(metadata!J269="",FALSE,ISNUMBER(VALUE(metadata!J269))),metadata!J269&gt;0))</f>
        <v>0</v>
      </c>
      <c r="AE269">
        <f>AND(IF(metadata!K269="",FALSE,TRUE),exact(metadata!K269,"g"))</f>
        <v>0</v>
      </c>
    </row>
    <row r="270" spans="1:31">
      <c r="A270" s="5">
        <f>IF(B270=" "," ",HYPERLINK(CONCATENATE("#metadata!",ADDRESS(INDEX($Q$2:$Q$1001,MATCH(ROWS($O$2:O270),$O$2:$O$1001,0),0),1)),INDEX($T$2:$T$1001,MATCH(ROWS($O$2:O270),$O$2:$O$1001,0),0)))</f>
        <v>0</v>
      </c>
      <c r="B270" s="4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4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4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4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4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4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4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4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4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4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OR(AND(IF(metadata!C270="",FALSE,TRUE),OR(exact(metadata!C270,"not applicable"),exact(metadata!C270,"missing: not collected"),exact(metadata!C270,"missing: not provided"),exact(metadata!C270,"missing: restricted access"))),AND(IF(metadata!C270="",FALSE,ISNUMBER(VALUE(metadata!C270))),metadata!C270&gt;0))</f>
        <v>0</v>
      </c>
      <c r="X270">
        <f>AND(IF(metadata!D270="",FALSE,TRUE),exact(metadata!D270,"weeks"))</f>
        <v>0</v>
      </c>
      <c r="Y270">
        <f>AND(IF(metadata!E270="",FALSE,TRUE),exact(metadata!E270,"urban biome"))</f>
        <v>0</v>
      </c>
      <c r="Z270">
        <f>AND(IF(metadata!F270="",FALSE,TRUE),exact(metadata!F270,"animal-associated habitat"))</f>
        <v>0</v>
      </c>
      <c r="AA270">
        <f>AND(IF(metadata!G270="",FALSE,TRUE),exact(metadata!G270,"mouse"))</f>
        <v>0</v>
      </c>
      <c r="AB270">
        <f>AND(IF(metadata!H270="",FALSE,TRUE),exact(metadata!H270,"Mus musculus"))</f>
        <v>0</v>
      </c>
      <c r="AC270">
        <f>AND(IF(metadata!I270="",FALSE,TRUE),exact(metadata!I270,"10090"))</f>
        <v>0</v>
      </c>
      <c r="AD270">
        <f>OR(AND(IF(metadata!J270="",FALSE,TRUE),OR(exact(metadata!J270,"not applicable"),exact(metadata!J270,"missing: not collected"),exact(metadata!J270,"missing: not provided"),exact(metadata!J270,"missing: restricted access"))),AND(IF(metadata!J270="",FALSE,ISNUMBER(VALUE(metadata!J270))),metadata!J270&gt;0))</f>
        <v>0</v>
      </c>
      <c r="AE270">
        <f>AND(IF(metadata!K270="",FALSE,TRUE),exact(metadata!K270,"g"))</f>
        <v>0</v>
      </c>
    </row>
    <row r="271" spans="1:31">
      <c r="A271" s="5">
        <f>IF(B271=" "," ",HYPERLINK(CONCATENATE("#metadata!",ADDRESS(INDEX($Q$2:$Q$1001,MATCH(ROWS($O$2:O271),$O$2:$O$1001,0),0),1)),INDEX($T$2:$T$1001,MATCH(ROWS($O$2:O271),$O$2:$O$1001,0),0)))</f>
        <v>0</v>
      </c>
      <c r="B271" s="4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4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4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4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4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4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4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4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4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4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OR(AND(IF(metadata!C271="",FALSE,TRUE),OR(exact(metadata!C271,"not applicable"),exact(metadata!C271,"missing: not collected"),exact(metadata!C271,"missing: not provided"),exact(metadata!C271,"missing: restricted access"))),AND(IF(metadata!C271="",FALSE,ISNUMBER(VALUE(metadata!C271))),metadata!C271&gt;0))</f>
        <v>0</v>
      </c>
      <c r="X271">
        <f>AND(IF(metadata!D271="",FALSE,TRUE),exact(metadata!D271,"weeks"))</f>
        <v>0</v>
      </c>
      <c r="Y271">
        <f>AND(IF(metadata!E271="",FALSE,TRUE),exact(metadata!E271,"urban biome"))</f>
        <v>0</v>
      </c>
      <c r="Z271">
        <f>AND(IF(metadata!F271="",FALSE,TRUE),exact(metadata!F271,"animal-associated habitat"))</f>
        <v>0</v>
      </c>
      <c r="AA271">
        <f>AND(IF(metadata!G271="",FALSE,TRUE),exact(metadata!G271,"mouse"))</f>
        <v>0</v>
      </c>
      <c r="AB271">
        <f>AND(IF(metadata!H271="",FALSE,TRUE),exact(metadata!H271,"Mus musculus"))</f>
        <v>0</v>
      </c>
      <c r="AC271">
        <f>AND(IF(metadata!I271="",FALSE,TRUE),exact(metadata!I271,"10090"))</f>
        <v>0</v>
      </c>
      <c r="AD271">
        <f>OR(AND(IF(metadata!J271="",FALSE,TRUE),OR(exact(metadata!J271,"not applicable"),exact(metadata!J271,"missing: not collected"),exact(metadata!J271,"missing: not provided"),exact(metadata!J271,"missing: restricted access"))),AND(IF(metadata!J271="",FALSE,ISNUMBER(VALUE(metadata!J271))),metadata!J271&gt;0))</f>
        <v>0</v>
      </c>
      <c r="AE271">
        <f>AND(IF(metadata!K271="",FALSE,TRUE),exact(metadata!K271,"g"))</f>
        <v>0</v>
      </c>
    </row>
    <row r="272" spans="1:31">
      <c r="A272" s="5">
        <f>IF(B272=" "," ",HYPERLINK(CONCATENATE("#metadata!",ADDRESS(INDEX($Q$2:$Q$1001,MATCH(ROWS($O$2:O272),$O$2:$O$1001,0),0),1)),INDEX($T$2:$T$1001,MATCH(ROWS($O$2:O272),$O$2:$O$1001,0),0)))</f>
        <v>0</v>
      </c>
      <c r="B272" s="4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4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4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4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4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4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4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4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4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4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OR(AND(IF(metadata!C272="",FALSE,TRUE),OR(exact(metadata!C272,"not applicable"),exact(metadata!C272,"missing: not collected"),exact(metadata!C272,"missing: not provided"),exact(metadata!C272,"missing: restricted access"))),AND(IF(metadata!C272="",FALSE,ISNUMBER(VALUE(metadata!C272))),metadata!C272&gt;0))</f>
        <v>0</v>
      </c>
      <c r="X272">
        <f>AND(IF(metadata!D272="",FALSE,TRUE),exact(metadata!D272,"weeks"))</f>
        <v>0</v>
      </c>
      <c r="Y272">
        <f>AND(IF(metadata!E272="",FALSE,TRUE),exact(metadata!E272,"urban biome"))</f>
        <v>0</v>
      </c>
      <c r="Z272">
        <f>AND(IF(metadata!F272="",FALSE,TRUE),exact(metadata!F272,"animal-associated habitat"))</f>
        <v>0</v>
      </c>
      <c r="AA272">
        <f>AND(IF(metadata!G272="",FALSE,TRUE),exact(metadata!G272,"mouse"))</f>
        <v>0</v>
      </c>
      <c r="AB272">
        <f>AND(IF(metadata!H272="",FALSE,TRUE),exact(metadata!H272,"Mus musculus"))</f>
        <v>0</v>
      </c>
      <c r="AC272">
        <f>AND(IF(metadata!I272="",FALSE,TRUE),exact(metadata!I272,"10090"))</f>
        <v>0</v>
      </c>
      <c r="AD272">
        <f>OR(AND(IF(metadata!J272="",FALSE,TRUE),OR(exact(metadata!J272,"not applicable"),exact(metadata!J272,"missing: not collected"),exact(metadata!J272,"missing: not provided"),exact(metadata!J272,"missing: restricted access"))),AND(IF(metadata!J272="",FALSE,ISNUMBER(VALUE(metadata!J272))),metadata!J272&gt;0))</f>
        <v>0</v>
      </c>
      <c r="AE272">
        <f>AND(IF(metadata!K272="",FALSE,TRUE),exact(metadata!K272,"g"))</f>
        <v>0</v>
      </c>
    </row>
    <row r="273" spans="1:31">
      <c r="A273" s="5">
        <f>IF(B273=" "," ",HYPERLINK(CONCATENATE("#metadata!",ADDRESS(INDEX($Q$2:$Q$1001,MATCH(ROWS($O$2:O273),$O$2:$O$1001,0),0),1)),INDEX($T$2:$T$1001,MATCH(ROWS($O$2:O273),$O$2:$O$1001,0),0)))</f>
        <v>0</v>
      </c>
      <c r="B273" s="4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4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4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4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4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4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4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4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4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4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OR(AND(IF(metadata!C273="",FALSE,TRUE),OR(exact(metadata!C273,"not applicable"),exact(metadata!C273,"missing: not collected"),exact(metadata!C273,"missing: not provided"),exact(metadata!C273,"missing: restricted access"))),AND(IF(metadata!C273="",FALSE,ISNUMBER(VALUE(metadata!C273))),metadata!C273&gt;0))</f>
        <v>0</v>
      </c>
      <c r="X273">
        <f>AND(IF(metadata!D273="",FALSE,TRUE),exact(metadata!D273,"weeks"))</f>
        <v>0</v>
      </c>
      <c r="Y273">
        <f>AND(IF(metadata!E273="",FALSE,TRUE),exact(metadata!E273,"urban biome"))</f>
        <v>0</v>
      </c>
      <c r="Z273">
        <f>AND(IF(metadata!F273="",FALSE,TRUE),exact(metadata!F273,"animal-associated habitat"))</f>
        <v>0</v>
      </c>
      <c r="AA273">
        <f>AND(IF(metadata!G273="",FALSE,TRUE),exact(metadata!G273,"mouse"))</f>
        <v>0</v>
      </c>
      <c r="AB273">
        <f>AND(IF(metadata!H273="",FALSE,TRUE),exact(metadata!H273,"Mus musculus"))</f>
        <v>0</v>
      </c>
      <c r="AC273">
        <f>AND(IF(metadata!I273="",FALSE,TRUE),exact(metadata!I273,"10090"))</f>
        <v>0</v>
      </c>
      <c r="AD273">
        <f>OR(AND(IF(metadata!J273="",FALSE,TRUE),OR(exact(metadata!J273,"not applicable"),exact(metadata!J273,"missing: not collected"),exact(metadata!J273,"missing: not provided"),exact(metadata!J273,"missing: restricted access"))),AND(IF(metadata!J273="",FALSE,ISNUMBER(VALUE(metadata!J273))),metadata!J273&gt;0))</f>
        <v>0</v>
      </c>
      <c r="AE273">
        <f>AND(IF(metadata!K273="",FALSE,TRUE),exact(metadata!K273,"g"))</f>
        <v>0</v>
      </c>
    </row>
    <row r="274" spans="1:31">
      <c r="A274" s="5">
        <f>IF(B274=" "," ",HYPERLINK(CONCATENATE("#metadata!",ADDRESS(INDEX($Q$2:$Q$1001,MATCH(ROWS($O$2:O274),$O$2:$O$1001,0),0),1)),INDEX($T$2:$T$1001,MATCH(ROWS($O$2:O274),$O$2:$O$1001,0),0)))</f>
        <v>0</v>
      </c>
      <c r="B274" s="4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4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4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4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4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4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4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4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4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4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OR(AND(IF(metadata!C274="",FALSE,TRUE),OR(exact(metadata!C274,"not applicable"),exact(metadata!C274,"missing: not collected"),exact(metadata!C274,"missing: not provided"),exact(metadata!C274,"missing: restricted access"))),AND(IF(metadata!C274="",FALSE,ISNUMBER(VALUE(metadata!C274))),metadata!C274&gt;0))</f>
        <v>0</v>
      </c>
      <c r="X274">
        <f>AND(IF(metadata!D274="",FALSE,TRUE),exact(metadata!D274,"weeks"))</f>
        <v>0</v>
      </c>
      <c r="Y274">
        <f>AND(IF(metadata!E274="",FALSE,TRUE),exact(metadata!E274,"urban biome"))</f>
        <v>0</v>
      </c>
      <c r="Z274">
        <f>AND(IF(metadata!F274="",FALSE,TRUE),exact(metadata!F274,"animal-associated habitat"))</f>
        <v>0</v>
      </c>
      <c r="AA274">
        <f>AND(IF(metadata!G274="",FALSE,TRUE),exact(metadata!G274,"mouse"))</f>
        <v>0</v>
      </c>
      <c r="AB274">
        <f>AND(IF(metadata!H274="",FALSE,TRUE),exact(metadata!H274,"Mus musculus"))</f>
        <v>0</v>
      </c>
      <c r="AC274">
        <f>AND(IF(metadata!I274="",FALSE,TRUE),exact(metadata!I274,"10090"))</f>
        <v>0</v>
      </c>
      <c r="AD274">
        <f>OR(AND(IF(metadata!J274="",FALSE,TRUE),OR(exact(metadata!J274,"not applicable"),exact(metadata!J274,"missing: not collected"),exact(metadata!J274,"missing: not provided"),exact(metadata!J274,"missing: restricted access"))),AND(IF(metadata!J274="",FALSE,ISNUMBER(VALUE(metadata!J274))),metadata!J274&gt;0))</f>
        <v>0</v>
      </c>
      <c r="AE274">
        <f>AND(IF(metadata!K274="",FALSE,TRUE),exact(metadata!K274,"g"))</f>
        <v>0</v>
      </c>
    </row>
    <row r="275" spans="1:31">
      <c r="A275" s="5">
        <f>IF(B275=" "," ",HYPERLINK(CONCATENATE("#metadata!",ADDRESS(INDEX($Q$2:$Q$1001,MATCH(ROWS($O$2:O275),$O$2:$O$1001,0),0),1)),INDEX($T$2:$T$1001,MATCH(ROWS($O$2:O275),$O$2:$O$1001,0),0)))</f>
        <v>0</v>
      </c>
      <c r="B275" s="4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4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4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4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4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4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4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4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4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4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OR(AND(IF(metadata!C275="",FALSE,TRUE),OR(exact(metadata!C275,"not applicable"),exact(metadata!C275,"missing: not collected"),exact(metadata!C275,"missing: not provided"),exact(metadata!C275,"missing: restricted access"))),AND(IF(metadata!C275="",FALSE,ISNUMBER(VALUE(metadata!C275))),metadata!C275&gt;0))</f>
        <v>0</v>
      </c>
      <c r="X275">
        <f>AND(IF(metadata!D275="",FALSE,TRUE),exact(metadata!D275,"weeks"))</f>
        <v>0</v>
      </c>
      <c r="Y275">
        <f>AND(IF(metadata!E275="",FALSE,TRUE),exact(metadata!E275,"urban biome"))</f>
        <v>0</v>
      </c>
      <c r="Z275">
        <f>AND(IF(metadata!F275="",FALSE,TRUE),exact(metadata!F275,"animal-associated habitat"))</f>
        <v>0</v>
      </c>
      <c r="AA275">
        <f>AND(IF(metadata!G275="",FALSE,TRUE),exact(metadata!G275,"mouse"))</f>
        <v>0</v>
      </c>
      <c r="AB275">
        <f>AND(IF(metadata!H275="",FALSE,TRUE),exact(metadata!H275,"Mus musculus"))</f>
        <v>0</v>
      </c>
      <c r="AC275">
        <f>AND(IF(metadata!I275="",FALSE,TRUE),exact(metadata!I275,"10090"))</f>
        <v>0</v>
      </c>
      <c r="AD275">
        <f>OR(AND(IF(metadata!J275="",FALSE,TRUE),OR(exact(metadata!J275,"not applicable"),exact(metadata!J275,"missing: not collected"),exact(metadata!J275,"missing: not provided"),exact(metadata!J275,"missing: restricted access"))),AND(IF(metadata!J275="",FALSE,ISNUMBER(VALUE(metadata!J275))),metadata!J275&gt;0))</f>
        <v>0</v>
      </c>
      <c r="AE275">
        <f>AND(IF(metadata!K275="",FALSE,TRUE),exact(metadata!K275,"g"))</f>
        <v>0</v>
      </c>
    </row>
    <row r="276" spans="1:31">
      <c r="A276" s="5">
        <f>IF(B276=" "," ",HYPERLINK(CONCATENATE("#metadata!",ADDRESS(INDEX($Q$2:$Q$1001,MATCH(ROWS($O$2:O276),$O$2:$O$1001,0),0),1)),INDEX($T$2:$T$1001,MATCH(ROWS($O$2:O276),$O$2:$O$1001,0),0)))</f>
        <v>0</v>
      </c>
      <c r="B276" s="4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4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4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4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4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4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4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4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4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4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OR(AND(IF(metadata!C276="",FALSE,TRUE),OR(exact(metadata!C276,"not applicable"),exact(metadata!C276,"missing: not collected"),exact(metadata!C276,"missing: not provided"),exact(metadata!C276,"missing: restricted access"))),AND(IF(metadata!C276="",FALSE,ISNUMBER(VALUE(metadata!C276))),metadata!C276&gt;0))</f>
        <v>0</v>
      </c>
      <c r="X276">
        <f>AND(IF(metadata!D276="",FALSE,TRUE),exact(metadata!D276,"weeks"))</f>
        <v>0</v>
      </c>
      <c r="Y276">
        <f>AND(IF(metadata!E276="",FALSE,TRUE),exact(metadata!E276,"urban biome"))</f>
        <v>0</v>
      </c>
      <c r="Z276">
        <f>AND(IF(metadata!F276="",FALSE,TRUE),exact(metadata!F276,"animal-associated habitat"))</f>
        <v>0</v>
      </c>
      <c r="AA276">
        <f>AND(IF(metadata!G276="",FALSE,TRUE),exact(metadata!G276,"mouse"))</f>
        <v>0</v>
      </c>
      <c r="AB276">
        <f>AND(IF(metadata!H276="",FALSE,TRUE),exact(metadata!H276,"Mus musculus"))</f>
        <v>0</v>
      </c>
      <c r="AC276">
        <f>AND(IF(metadata!I276="",FALSE,TRUE),exact(metadata!I276,"10090"))</f>
        <v>0</v>
      </c>
      <c r="AD276">
        <f>OR(AND(IF(metadata!J276="",FALSE,TRUE),OR(exact(metadata!J276,"not applicable"),exact(metadata!J276,"missing: not collected"),exact(metadata!J276,"missing: not provided"),exact(metadata!J276,"missing: restricted access"))),AND(IF(metadata!J276="",FALSE,ISNUMBER(VALUE(metadata!J276))),metadata!J276&gt;0))</f>
        <v>0</v>
      </c>
      <c r="AE276">
        <f>AND(IF(metadata!K276="",FALSE,TRUE),exact(metadata!K276,"g"))</f>
        <v>0</v>
      </c>
    </row>
    <row r="277" spans="1:31">
      <c r="A277" s="5">
        <f>IF(B277=" "," ",HYPERLINK(CONCATENATE("#metadata!",ADDRESS(INDEX($Q$2:$Q$1001,MATCH(ROWS($O$2:O277),$O$2:$O$1001,0),0),1)),INDEX($T$2:$T$1001,MATCH(ROWS($O$2:O277),$O$2:$O$1001,0),0)))</f>
        <v>0</v>
      </c>
      <c r="B277" s="4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4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4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4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4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4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4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4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4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4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OR(AND(IF(metadata!C277="",FALSE,TRUE),OR(exact(metadata!C277,"not applicable"),exact(metadata!C277,"missing: not collected"),exact(metadata!C277,"missing: not provided"),exact(metadata!C277,"missing: restricted access"))),AND(IF(metadata!C277="",FALSE,ISNUMBER(VALUE(metadata!C277))),metadata!C277&gt;0))</f>
        <v>0</v>
      </c>
      <c r="X277">
        <f>AND(IF(metadata!D277="",FALSE,TRUE),exact(metadata!D277,"weeks"))</f>
        <v>0</v>
      </c>
      <c r="Y277">
        <f>AND(IF(metadata!E277="",FALSE,TRUE),exact(metadata!E277,"urban biome"))</f>
        <v>0</v>
      </c>
      <c r="Z277">
        <f>AND(IF(metadata!F277="",FALSE,TRUE),exact(metadata!F277,"animal-associated habitat"))</f>
        <v>0</v>
      </c>
      <c r="AA277">
        <f>AND(IF(metadata!G277="",FALSE,TRUE),exact(metadata!G277,"mouse"))</f>
        <v>0</v>
      </c>
      <c r="AB277">
        <f>AND(IF(metadata!H277="",FALSE,TRUE),exact(metadata!H277,"Mus musculus"))</f>
        <v>0</v>
      </c>
      <c r="AC277">
        <f>AND(IF(metadata!I277="",FALSE,TRUE),exact(metadata!I277,"10090"))</f>
        <v>0</v>
      </c>
      <c r="AD277">
        <f>OR(AND(IF(metadata!J277="",FALSE,TRUE),OR(exact(metadata!J277,"not applicable"),exact(metadata!J277,"missing: not collected"),exact(metadata!J277,"missing: not provided"),exact(metadata!J277,"missing: restricted access"))),AND(IF(metadata!J277="",FALSE,ISNUMBER(VALUE(metadata!J277))),metadata!J277&gt;0))</f>
        <v>0</v>
      </c>
      <c r="AE277">
        <f>AND(IF(metadata!K277="",FALSE,TRUE),exact(metadata!K277,"g"))</f>
        <v>0</v>
      </c>
    </row>
    <row r="278" spans="1:31">
      <c r="A278" s="5">
        <f>IF(B278=" "," ",HYPERLINK(CONCATENATE("#metadata!",ADDRESS(INDEX($Q$2:$Q$1001,MATCH(ROWS($O$2:O278),$O$2:$O$1001,0),0),1)),INDEX($T$2:$T$1001,MATCH(ROWS($O$2:O278),$O$2:$O$1001,0),0)))</f>
        <v>0</v>
      </c>
      <c r="B278" s="4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4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4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4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4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4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4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4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4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4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OR(AND(IF(metadata!C278="",FALSE,TRUE),OR(exact(metadata!C278,"not applicable"),exact(metadata!C278,"missing: not collected"),exact(metadata!C278,"missing: not provided"),exact(metadata!C278,"missing: restricted access"))),AND(IF(metadata!C278="",FALSE,ISNUMBER(VALUE(metadata!C278))),metadata!C278&gt;0))</f>
        <v>0</v>
      </c>
      <c r="X278">
        <f>AND(IF(metadata!D278="",FALSE,TRUE),exact(metadata!D278,"weeks"))</f>
        <v>0</v>
      </c>
      <c r="Y278">
        <f>AND(IF(metadata!E278="",FALSE,TRUE),exact(metadata!E278,"urban biome"))</f>
        <v>0</v>
      </c>
      <c r="Z278">
        <f>AND(IF(metadata!F278="",FALSE,TRUE),exact(metadata!F278,"animal-associated habitat"))</f>
        <v>0</v>
      </c>
      <c r="AA278">
        <f>AND(IF(metadata!G278="",FALSE,TRUE),exact(metadata!G278,"mouse"))</f>
        <v>0</v>
      </c>
      <c r="AB278">
        <f>AND(IF(metadata!H278="",FALSE,TRUE),exact(metadata!H278,"Mus musculus"))</f>
        <v>0</v>
      </c>
      <c r="AC278">
        <f>AND(IF(metadata!I278="",FALSE,TRUE),exact(metadata!I278,"10090"))</f>
        <v>0</v>
      </c>
      <c r="AD278">
        <f>OR(AND(IF(metadata!J278="",FALSE,TRUE),OR(exact(metadata!J278,"not applicable"),exact(metadata!J278,"missing: not collected"),exact(metadata!J278,"missing: not provided"),exact(metadata!J278,"missing: restricted access"))),AND(IF(metadata!J278="",FALSE,ISNUMBER(VALUE(metadata!J278))),metadata!J278&gt;0))</f>
        <v>0</v>
      </c>
      <c r="AE278">
        <f>AND(IF(metadata!K278="",FALSE,TRUE),exact(metadata!K278,"g"))</f>
        <v>0</v>
      </c>
    </row>
    <row r="279" spans="1:31">
      <c r="A279" s="5">
        <f>IF(B279=" "," ",HYPERLINK(CONCATENATE("#metadata!",ADDRESS(INDEX($Q$2:$Q$1001,MATCH(ROWS($O$2:O279),$O$2:$O$1001,0),0),1)),INDEX($T$2:$T$1001,MATCH(ROWS($O$2:O279),$O$2:$O$1001,0),0)))</f>
        <v>0</v>
      </c>
      <c r="B279" s="4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4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4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4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4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4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4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4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4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4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OR(AND(IF(metadata!C279="",FALSE,TRUE),OR(exact(metadata!C279,"not applicable"),exact(metadata!C279,"missing: not collected"),exact(metadata!C279,"missing: not provided"),exact(metadata!C279,"missing: restricted access"))),AND(IF(metadata!C279="",FALSE,ISNUMBER(VALUE(metadata!C279))),metadata!C279&gt;0))</f>
        <v>0</v>
      </c>
      <c r="X279">
        <f>AND(IF(metadata!D279="",FALSE,TRUE),exact(metadata!D279,"weeks"))</f>
        <v>0</v>
      </c>
      <c r="Y279">
        <f>AND(IF(metadata!E279="",FALSE,TRUE),exact(metadata!E279,"urban biome"))</f>
        <v>0</v>
      </c>
      <c r="Z279">
        <f>AND(IF(metadata!F279="",FALSE,TRUE),exact(metadata!F279,"animal-associated habitat"))</f>
        <v>0</v>
      </c>
      <c r="AA279">
        <f>AND(IF(metadata!G279="",FALSE,TRUE),exact(metadata!G279,"mouse"))</f>
        <v>0</v>
      </c>
      <c r="AB279">
        <f>AND(IF(metadata!H279="",FALSE,TRUE),exact(metadata!H279,"Mus musculus"))</f>
        <v>0</v>
      </c>
      <c r="AC279">
        <f>AND(IF(metadata!I279="",FALSE,TRUE),exact(metadata!I279,"10090"))</f>
        <v>0</v>
      </c>
      <c r="AD279">
        <f>OR(AND(IF(metadata!J279="",FALSE,TRUE),OR(exact(metadata!J279,"not applicable"),exact(metadata!J279,"missing: not collected"),exact(metadata!J279,"missing: not provided"),exact(metadata!J279,"missing: restricted access"))),AND(IF(metadata!J279="",FALSE,ISNUMBER(VALUE(metadata!J279))),metadata!J279&gt;0))</f>
        <v>0</v>
      </c>
      <c r="AE279">
        <f>AND(IF(metadata!K279="",FALSE,TRUE),exact(metadata!K279,"g"))</f>
        <v>0</v>
      </c>
    </row>
    <row r="280" spans="1:31">
      <c r="A280" s="5">
        <f>IF(B280=" "," ",HYPERLINK(CONCATENATE("#metadata!",ADDRESS(INDEX($Q$2:$Q$1001,MATCH(ROWS($O$2:O280),$O$2:$O$1001,0),0),1)),INDEX($T$2:$T$1001,MATCH(ROWS($O$2:O280),$O$2:$O$1001,0),0)))</f>
        <v>0</v>
      </c>
      <c r="B280" s="4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4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4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4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4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4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4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4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4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4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OR(AND(IF(metadata!C280="",FALSE,TRUE),OR(exact(metadata!C280,"not applicable"),exact(metadata!C280,"missing: not collected"),exact(metadata!C280,"missing: not provided"),exact(metadata!C280,"missing: restricted access"))),AND(IF(metadata!C280="",FALSE,ISNUMBER(VALUE(metadata!C280))),metadata!C280&gt;0))</f>
        <v>0</v>
      </c>
      <c r="X280">
        <f>AND(IF(metadata!D280="",FALSE,TRUE),exact(metadata!D280,"weeks"))</f>
        <v>0</v>
      </c>
      <c r="Y280">
        <f>AND(IF(metadata!E280="",FALSE,TRUE),exact(metadata!E280,"urban biome"))</f>
        <v>0</v>
      </c>
      <c r="Z280">
        <f>AND(IF(metadata!F280="",FALSE,TRUE),exact(metadata!F280,"animal-associated habitat"))</f>
        <v>0</v>
      </c>
      <c r="AA280">
        <f>AND(IF(metadata!G280="",FALSE,TRUE),exact(metadata!G280,"mouse"))</f>
        <v>0</v>
      </c>
      <c r="AB280">
        <f>AND(IF(metadata!H280="",FALSE,TRUE),exact(metadata!H280,"Mus musculus"))</f>
        <v>0</v>
      </c>
      <c r="AC280">
        <f>AND(IF(metadata!I280="",FALSE,TRUE),exact(metadata!I280,"10090"))</f>
        <v>0</v>
      </c>
      <c r="AD280">
        <f>OR(AND(IF(metadata!J280="",FALSE,TRUE),OR(exact(metadata!J280,"not applicable"),exact(metadata!J280,"missing: not collected"),exact(metadata!J280,"missing: not provided"),exact(metadata!J280,"missing: restricted access"))),AND(IF(metadata!J280="",FALSE,ISNUMBER(VALUE(metadata!J280))),metadata!J280&gt;0))</f>
        <v>0</v>
      </c>
      <c r="AE280">
        <f>AND(IF(metadata!K280="",FALSE,TRUE),exact(metadata!K280,"g"))</f>
        <v>0</v>
      </c>
    </row>
    <row r="281" spans="1:31">
      <c r="A281" s="5">
        <f>IF(B281=" "," ",HYPERLINK(CONCATENATE("#metadata!",ADDRESS(INDEX($Q$2:$Q$1001,MATCH(ROWS($O$2:O281),$O$2:$O$1001,0),0),1)),INDEX($T$2:$T$1001,MATCH(ROWS($O$2:O281),$O$2:$O$1001,0),0)))</f>
        <v>0</v>
      </c>
      <c r="B281" s="4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4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4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4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4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4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4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4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4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4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OR(AND(IF(metadata!C281="",FALSE,TRUE),OR(exact(metadata!C281,"not applicable"),exact(metadata!C281,"missing: not collected"),exact(metadata!C281,"missing: not provided"),exact(metadata!C281,"missing: restricted access"))),AND(IF(metadata!C281="",FALSE,ISNUMBER(VALUE(metadata!C281))),metadata!C281&gt;0))</f>
        <v>0</v>
      </c>
      <c r="X281">
        <f>AND(IF(metadata!D281="",FALSE,TRUE),exact(metadata!D281,"weeks"))</f>
        <v>0</v>
      </c>
      <c r="Y281">
        <f>AND(IF(metadata!E281="",FALSE,TRUE),exact(metadata!E281,"urban biome"))</f>
        <v>0</v>
      </c>
      <c r="Z281">
        <f>AND(IF(metadata!F281="",FALSE,TRUE),exact(metadata!F281,"animal-associated habitat"))</f>
        <v>0</v>
      </c>
      <c r="AA281">
        <f>AND(IF(metadata!G281="",FALSE,TRUE),exact(metadata!G281,"mouse"))</f>
        <v>0</v>
      </c>
      <c r="AB281">
        <f>AND(IF(metadata!H281="",FALSE,TRUE),exact(metadata!H281,"Mus musculus"))</f>
        <v>0</v>
      </c>
      <c r="AC281">
        <f>AND(IF(metadata!I281="",FALSE,TRUE),exact(metadata!I281,"10090"))</f>
        <v>0</v>
      </c>
      <c r="AD281">
        <f>OR(AND(IF(metadata!J281="",FALSE,TRUE),OR(exact(metadata!J281,"not applicable"),exact(metadata!J281,"missing: not collected"),exact(metadata!J281,"missing: not provided"),exact(metadata!J281,"missing: restricted access"))),AND(IF(metadata!J281="",FALSE,ISNUMBER(VALUE(metadata!J281))),metadata!J281&gt;0))</f>
        <v>0</v>
      </c>
      <c r="AE281">
        <f>AND(IF(metadata!K281="",FALSE,TRUE),exact(metadata!K281,"g"))</f>
        <v>0</v>
      </c>
    </row>
    <row r="282" spans="1:31">
      <c r="A282" s="5">
        <f>IF(B282=" "," ",HYPERLINK(CONCATENATE("#metadata!",ADDRESS(INDEX($Q$2:$Q$1001,MATCH(ROWS($O$2:O282),$O$2:$O$1001,0),0),1)),INDEX($T$2:$T$1001,MATCH(ROWS($O$2:O282),$O$2:$O$1001,0),0)))</f>
        <v>0</v>
      </c>
      <c r="B282" s="4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4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4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4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4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4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4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4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4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4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OR(AND(IF(metadata!C282="",FALSE,TRUE),OR(exact(metadata!C282,"not applicable"),exact(metadata!C282,"missing: not collected"),exact(metadata!C282,"missing: not provided"),exact(metadata!C282,"missing: restricted access"))),AND(IF(metadata!C282="",FALSE,ISNUMBER(VALUE(metadata!C282))),metadata!C282&gt;0))</f>
        <v>0</v>
      </c>
      <c r="X282">
        <f>AND(IF(metadata!D282="",FALSE,TRUE),exact(metadata!D282,"weeks"))</f>
        <v>0</v>
      </c>
      <c r="Y282">
        <f>AND(IF(metadata!E282="",FALSE,TRUE),exact(metadata!E282,"urban biome"))</f>
        <v>0</v>
      </c>
      <c r="Z282">
        <f>AND(IF(metadata!F282="",FALSE,TRUE),exact(metadata!F282,"animal-associated habitat"))</f>
        <v>0</v>
      </c>
      <c r="AA282">
        <f>AND(IF(metadata!G282="",FALSE,TRUE),exact(metadata!G282,"mouse"))</f>
        <v>0</v>
      </c>
      <c r="AB282">
        <f>AND(IF(metadata!H282="",FALSE,TRUE),exact(metadata!H282,"Mus musculus"))</f>
        <v>0</v>
      </c>
      <c r="AC282">
        <f>AND(IF(metadata!I282="",FALSE,TRUE),exact(metadata!I282,"10090"))</f>
        <v>0</v>
      </c>
      <c r="AD282">
        <f>OR(AND(IF(metadata!J282="",FALSE,TRUE),OR(exact(metadata!J282,"not applicable"),exact(metadata!J282,"missing: not collected"),exact(metadata!J282,"missing: not provided"),exact(metadata!J282,"missing: restricted access"))),AND(IF(metadata!J282="",FALSE,ISNUMBER(VALUE(metadata!J282))),metadata!J282&gt;0))</f>
        <v>0</v>
      </c>
      <c r="AE282">
        <f>AND(IF(metadata!K282="",FALSE,TRUE),exact(metadata!K282,"g"))</f>
        <v>0</v>
      </c>
    </row>
    <row r="283" spans="1:31">
      <c r="A283" s="5">
        <f>IF(B283=" "," ",HYPERLINK(CONCATENATE("#metadata!",ADDRESS(INDEX($Q$2:$Q$1001,MATCH(ROWS($O$2:O283),$O$2:$O$1001,0),0),1)),INDEX($T$2:$T$1001,MATCH(ROWS($O$2:O283),$O$2:$O$1001,0),0)))</f>
        <v>0</v>
      </c>
      <c r="B283" s="4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4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4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4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4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4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4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4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4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4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OR(AND(IF(metadata!C283="",FALSE,TRUE),OR(exact(metadata!C283,"not applicable"),exact(metadata!C283,"missing: not collected"),exact(metadata!C283,"missing: not provided"),exact(metadata!C283,"missing: restricted access"))),AND(IF(metadata!C283="",FALSE,ISNUMBER(VALUE(metadata!C283))),metadata!C283&gt;0))</f>
        <v>0</v>
      </c>
      <c r="X283">
        <f>AND(IF(metadata!D283="",FALSE,TRUE),exact(metadata!D283,"weeks"))</f>
        <v>0</v>
      </c>
      <c r="Y283">
        <f>AND(IF(metadata!E283="",FALSE,TRUE),exact(metadata!E283,"urban biome"))</f>
        <v>0</v>
      </c>
      <c r="Z283">
        <f>AND(IF(metadata!F283="",FALSE,TRUE),exact(metadata!F283,"animal-associated habitat"))</f>
        <v>0</v>
      </c>
      <c r="AA283">
        <f>AND(IF(metadata!G283="",FALSE,TRUE),exact(metadata!G283,"mouse"))</f>
        <v>0</v>
      </c>
      <c r="AB283">
        <f>AND(IF(metadata!H283="",FALSE,TRUE),exact(metadata!H283,"Mus musculus"))</f>
        <v>0</v>
      </c>
      <c r="AC283">
        <f>AND(IF(metadata!I283="",FALSE,TRUE),exact(metadata!I283,"10090"))</f>
        <v>0</v>
      </c>
      <c r="AD283">
        <f>OR(AND(IF(metadata!J283="",FALSE,TRUE),OR(exact(metadata!J283,"not applicable"),exact(metadata!J283,"missing: not collected"),exact(metadata!J283,"missing: not provided"),exact(metadata!J283,"missing: restricted access"))),AND(IF(metadata!J283="",FALSE,ISNUMBER(VALUE(metadata!J283))),metadata!J283&gt;0))</f>
        <v>0</v>
      </c>
      <c r="AE283">
        <f>AND(IF(metadata!K283="",FALSE,TRUE),exact(metadata!K283,"g"))</f>
        <v>0</v>
      </c>
    </row>
    <row r="284" spans="1:31">
      <c r="A284" s="5">
        <f>IF(B284=" "," ",HYPERLINK(CONCATENATE("#metadata!",ADDRESS(INDEX($Q$2:$Q$1001,MATCH(ROWS($O$2:O284),$O$2:$O$1001,0),0),1)),INDEX($T$2:$T$1001,MATCH(ROWS($O$2:O284),$O$2:$O$1001,0),0)))</f>
        <v>0</v>
      </c>
      <c r="B284" s="4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4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4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4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4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4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4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4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4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4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OR(AND(IF(metadata!C284="",FALSE,TRUE),OR(exact(metadata!C284,"not applicable"),exact(metadata!C284,"missing: not collected"),exact(metadata!C284,"missing: not provided"),exact(metadata!C284,"missing: restricted access"))),AND(IF(metadata!C284="",FALSE,ISNUMBER(VALUE(metadata!C284))),metadata!C284&gt;0))</f>
        <v>0</v>
      </c>
      <c r="X284">
        <f>AND(IF(metadata!D284="",FALSE,TRUE),exact(metadata!D284,"weeks"))</f>
        <v>0</v>
      </c>
      <c r="Y284">
        <f>AND(IF(metadata!E284="",FALSE,TRUE),exact(metadata!E284,"urban biome"))</f>
        <v>0</v>
      </c>
      <c r="Z284">
        <f>AND(IF(metadata!F284="",FALSE,TRUE),exact(metadata!F284,"animal-associated habitat"))</f>
        <v>0</v>
      </c>
      <c r="AA284">
        <f>AND(IF(metadata!G284="",FALSE,TRUE),exact(metadata!G284,"mouse"))</f>
        <v>0</v>
      </c>
      <c r="AB284">
        <f>AND(IF(metadata!H284="",FALSE,TRUE),exact(metadata!H284,"Mus musculus"))</f>
        <v>0</v>
      </c>
      <c r="AC284">
        <f>AND(IF(metadata!I284="",FALSE,TRUE),exact(metadata!I284,"10090"))</f>
        <v>0</v>
      </c>
      <c r="AD284">
        <f>OR(AND(IF(metadata!J284="",FALSE,TRUE),OR(exact(metadata!J284,"not applicable"),exact(metadata!J284,"missing: not collected"),exact(metadata!J284,"missing: not provided"),exact(metadata!J284,"missing: restricted access"))),AND(IF(metadata!J284="",FALSE,ISNUMBER(VALUE(metadata!J284))),metadata!J284&gt;0))</f>
        <v>0</v>
      </c>
      <c r="AE284">
        <f>AND(IF(metadata!K284="",FALSE,TRUE),exact(metadata!K284,"g"))</f>
        <v>0</v>
      </c>
    </row>
    <row r="285" spans="1:31">
      <c r="A285" s="5">
        <f>IF(B285=" "," ",HYPERLINK(CONCATENATE("#metadata!",ADDRESS(INDEX($Q$2:$Q$1001,MATCH(ROWS($O$2:O285),$O$2:$O$1001,0),0),1)),INDEX($T$2:$T$1001,MATCH(ROWS($O$2:O285),$O$2:$O$1001,0),0)))</f>
        <v>0</v>
      </c>
      <c r="B285" s="4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4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4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4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4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4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4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4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4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4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OR(AND(IF(metadata!C285="",FALSE,TRUE),OR(exact(metadata!C285,"not applicable"),exact(metadata!C285,"missing: not collected"),exact(metadata!C285,"missing: not provided"),exact(metadata!C285,"missing: restricted access"))),AND(IF(metadata!C285="",FALSE,ISNUMBER(VALUE(metadata!C285))),metadata!C285&gt;0))</f>
        <v>0</v>
      </c>
      <c r="X285">
        <f>AND(IF(metadata!D285="",FALSE,TRUE),exact(metadata!D285,"weeks"))</f>
        <v>0</v>
      </c>
      <c r="Y285">
        <f>AND(IF(metadata!E285="",FALSE,TRUE),exact(metadata!E285,"urban biome"))</f>
        <v>0</v>
      </c>
      <c r="Z285">
        <f>AND(IF(metadata!F285="",FALSE,TRUE),exact(metadata!F285,"animal-associated habitat"))</f>
        <v>0</v>
      </c>
      <c r="AA285">
        <f>AND(IF(metadata!G285="",FALSE,TRUE),exact(metadata!G285,"mouse"))</f>
        <v>0</v>
      </c>
      <c r="AB285">
        <f>AND(IF(metadata!H285="",FALSE,TRUE),exact(metadata!H285,"Mus musculus"))</f>
        <v>0</v>
      </c>
      <c r="AC285">
        <f>AND(IF(metadata!I285="",FALSE,TRUE),exact(metadata!I285,"10090"))</f>
        <v>0</v>
      </c>
      <c r="AD285">
        <f>OR(AND(IF(metadata!J285="",FALSE,TRUE),OR(exact(metadata!J285,"not applicable"),exact(metadata!J285,"missing: not collected"),exact(metadata!J285,"missing: not provided"),exact(metadata!J285,"missing: restricted access"))),AND(IF(metadata!J285="",FALSE,ISNUMBER(VALUE(metadata!J285))),metadata!J285&gt;0))</f>
        <v>0</v>
      </c>
      <c r="AE285">
        <f>AND(IF(metadata!K285="",FALSE,TRUE),exact(metadata!K285,"g"))</f>
        <v>0</v>
      </c>
    </row>
    <row r="286" spans="1:31">
      <c r="A286" s="5">
        <f>IF(B286=" "," ",HYPERLINK(CONCATENATE("#metadata!",ADDRESS(INDEX($Q$2:$Q$1001,MATCH(ROWS($O$2:O286),$O$2:$O$1001,0),0),1)),INDEX($T$2:$T$1001,MATCH(ROWS($O$2:O286),$O$2:$O$1001,0),0)))</f>
        <v>0</v>
      </c>
      <c r="B286" s="4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4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4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4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4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4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4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4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4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4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OR(AND(IF(metadata!C286="",FALSE,TRUE),OR(exact(metadata!C286,"not applicable"),exact(metadata!C286,"missing: not collected"),exact(metadata!C286,"missing: not provided"),exact(metadata!C286,"missing: restricted access"))),AND(IF(metadata!C286="",FALSE,ISNUMBER(VALUE(metadata!C286))),metadata!C286&gt;0))</f>
        <v>0</v>
      </c>
      <c r="X286">
        <f>AND(IF(metadata!D286="",FALSE,TRUE),exact(metadata!D286,"weeks"))</f>
        <v>0</v>
      </c>
      <c r="Y286">
        <f>AND(IF(metadata!E286="",FALSE,TRUE),exact(metadata!E286,"urban biome"))</f>
        <v>0</v>
      </c>
      <c r="Z286">
        <f>AND(IF(metadata!F286="",FALSE,TRUE),exact(metadata!F286,"animal-associated habitat"))</f>
        <v>0</v>
      </c>
      <c r="AA286">
        <f>AND(IF(metadata!G286="",FALSE,TRUE),exact(metadata!G286,"mouse"))</f>
        <v>0</v>
      </c>
      <c r="AB286">
        <f>AND(IF(metadata!H286="",FALSE,TRUE),exact(metadata!H286,"Mus musculus"))</f>
        <v>0</v>
      </c>
      <c r="AC286">
        <f>AND(IF(metadata!I286="",FALSE,TRUE),exact(metadata!I286,"10090"))</f>
        <v>0</v>
      </c>
      <c r="AD286">
        <f>OR(AND(IF(metadata!J286="",FALSE,TRUE),OR(exact(metadata!J286,"not applicable"),exact(metadata!J286,"missing: not collected"),exact(metadata!J286,"missing: not provided"),exact(metadata!J286,"missing: restricted access"))),AND(IF(metadata!J286="",FALSE,ISNUMBER(VALUE(metadata!J286))),metadata!J286&gt;0))</f>
        <v>0</v>
      </c>
      <c r="AE286">
        <f>AND(IF(metadata!K286="",FALSE,TRUE),exact(metadata!K286,"g"))</f>
        <v>0</v>
      </c>
    </row>
    <row r="287" spans="1:31">
      <c r="A287" s="5">
        <f>IF(B287=" "," ",HYPERLINK(CONCATENATE("#metadata!",ADDRESS(INDEX($Q$2:$Q$1001,MATCH(ROWS($O$2:O287),$O$2:$O$1001,0),0),1)),INDEX($T$2:$T$1001,MATCH(ROWS($O$2:O287),$O$2:$O$1001,0),0)))</f>
        <v>0</v>
      </c>
      <c r="B287" s="4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4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4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4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4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4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4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4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4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4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OR(AND(IF(metadata!C287="",FALSE,TRUE),OR(exact(metadata!C287,"not applicable"),exact(metadata!C287,"missing: not collected"),exact(metadata!C287,"missing: not provided"),exact(metadata!C287,"missing: restricted access"))),AND(IF(metadata!C287="",FALSE,ISNUMBER(VALUE(metadata!C287))),metadata!C287&gt;0))</f>
        <v>0</v>
      </c>
      <c r="X287">
        <f>AND(IF(metadata!D287="",FALSE,TRUE),exact(metadata!D287,"weeks"))</f>
        <v>0</v>
      </c>
      <c r="Y287">
        <f>AND(IF(metadata!E287="",FALSE,TRUE),exact(metadata!E287,"urban biome"))</f>
        <v>0</v>
      </c>
      <c r="Z287">
        <f>AND(IF(metadata!F287="",FALSE,TRUE),exact(metadata!F287,"animal-associated habitat"))</f>
        <v>0</v>
      </c>
      <c r="AA287">
        <f>AND(IF(metadata!G287="",FALSE,TRUE),exact(metadata!G287,"mouse"))</f>
        <v>0</v>
      </c>
      <c r="AB287">
        <f>AND(IF(metadata!H287="",FALSE,TRUE),exact(metadata!H287,"Mus musculus"))</f>
        <v>0</v>
      </c>
      <c r="AC287">
        <f>AND(IF(metadata!I287="",FALSE,TRUE),exact(metadata!I287,"10090"))</f>
        <v>0</v>
      </c>
      <c r="AD287">
        <f>OR(AND(IF(metadata!J287="",FALSE,TRUE),OR(exact(metadata!J287,"not applicable"),exact(metadata!J287,"missing: not collected"),exact(metadata!J287,"missing: not provided"),exact(metadata!J287,"missing: restricted access"))),AND(IF(metadata!J287="",FALSE,ISNUMBER(VALUE(metadata!J287))),metadata!J287&gt;0))</f>
        <v>0</v>
      </c>
      <c r="AE287">
        <f>AND(IF(metadata!K287="",FALSE,TRUE),exact(metadata!K287,"g"))</f>
        <v>0</v>
      </c>
    </row>
    <row r="288" spans="1:31">
      <c r="A288" s="5">
        <f>IF(B288=" "," ",HYPERLINK(CONCATENATE("#metadata!",ADDRESS(INDEX($Q$2:$Q$1001,MATCH(ROWS($O$2:O288),$O$2:$O$1001,0),0),1)),INDEX($T$2:$T$1001,MATCH(ROWS($O$2:O288),$O$2:$O$1001,0),0)))</f>
        <v>0</v>
      </c>
      <c r="B288" s="4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4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4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4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4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4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4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4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4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4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OR(AND(IF(metadata!C288="",FALSE,TRUE),OR(exact(metadata!C288,"not applicable"),exact(metadata!C288,"missing: not collected"),exact(metadata!C288,"missing: not provided"),exact(metadata!C288,"missing: restricted access"))),AND(IF(metadata!C288="",FALSE,ISNUMBER(VALUE(metadata!C288))),metadata!C288&gt;0))</f>
        <v>0</v>
      </c>
      <c r="X288">
        <f>AND(IF(metadata!D288="",FALSE,TRUE),exact(metadata!D288,"weeks"))</f>
        <v>0</v>
      </c>
      <c r="Y288">
        <f>AND(IF(metadata!E288="",FALSE,TRUE),exact(metadata!E288,"urban biome"))</f>
        <v>0</v>
      </c>
      <c r="Z288">
        <f>AND(IF(metadata!F288="",FALSE,TRUE),exact(metadata!F288,"animal-associated habitat"))</f>
        <v>0</v>
      </c>
      <c r="AA288">
        <f>AND(IF(metadata!G288="",FALSE,TRUE),exact(metadata!G288,"mouse"))</f>
        <v>0</v>
      </c>
      <c r="AB288">
        <f>AND(IF(metadata!H288="",FALSE,TRUE),exact(metadata!H288,"Mus musculus"))</f>
        <v>0</v>
      </c>
      <c r="AC288">
        <f>AND(IF(metadata!I288="",FALSE,TRUE),exact(metadata!I288,"10090"))</f>
        <v>0</v>
      </c>
      <c r="AD288">
        <f>OR(AND(IF(metadata!J288="",FALSE,TRUE),OR(exact(metadata!J288,"not applicable"),exact(metadata!J288,"missing: not collected"),exact(metadata!J288,"missing: not provided"),exact(metadata!J288,"missing: restricted access"))),AND(IF(metadata!J288="",FALSE,ISNUMBER(VALUE(metadata!J288))),metadata!J288&gt;0))</f>
        <v>0</v>
      </c>
      <c r="AE288">
        <f>AND(IF(metadata!K288="",FALSE,TRUE),exact(metadata!K288,"g"))</f>
        <v>0</v>
      </c>
    </row>
    <row r="289" spans="1:31">
      <c r="A289" s="5">
        <f>IF(B289=" "," ",HYPERLINK(CONCATENATE("#metadata!",ADDRESS(INDEX($Q$2:$Q$1001,MATCH(ROWS($O$2:O289),$O$2:$O$1001,0),0),1)),INDEX($T$2:$T$1001,MATCH(ROWS($O$2:O289),$O$2:$O$1001,0),0)))</f>
        <v>0</v>
      </c>
      <c r="B289" s="4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4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4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4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4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4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4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4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4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4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OR(AND(IF(metadata!C289="",FALSE,TRUE),OR(exact(metadata!C289,"not applicable"),exact(metadata!C289,"missing: not collected"),exact(metadata!C289,"missing: not provided"),exact(metadata!C289,"missing: restricted access"))),AND(IF(metadata!C289="",FALSE,ISNUMBER(VALUE(metadata!C289))),metadata!C289&gt;0))</f>
        <v>0</v>
      </c>
      <c r="X289">
        <f>AND(IF(metadata!D289="",FALSE,TRUE),exact(metadata!D289,"weeks"))</f>
        <v>0</v>
      </c>
      <c r="Y289">
        <f>AND(IF(metadata!E289="",FALSE,TRUE),exact(metadata!E289,"urban biome"))</f>
        <v>0</v>
      </c>
      <c r="Z289">
        <f>AND(IF(metadata!F289="",FALSE,TRUE),exact(metadata!F289,"animal-associated habitat"))</f>
        <v>0</v>
      </c>
      <c r="AA289">
        <f>AND(IF(metadata!G289="",FALSE,TRUE),exact(metadata!G289,"mouse"))</f>
        <v>0</v>
      </c>
      <c r="AB289">
        <f>AND(IF(metadata!H289="",FALSE,TRUE),exact(metadata!H289,"Mus musculus"))</f>
        <v>0</v>
      </c>
      <c r="AC289">
        <f>AND(IF(metadata!I289="",FALSE,TRUE),exact(metadata!I289,"10090"))</f>
        <v>0</v>
      </c>
      <c r="AD289">
        <f>OR(AND(IF(metadata!J289="",FALSE,TRUE),OR(exact(metadata!J289,"not applicable"),exact(metadata!J289,"missing: not collected"),exact(metadata!J289,"missing: not provided"),exact(metadata!J289,"missing: restricted access"))),AND(IF(metadata!J289="",FALSE,ISNUMBER(VALUE(metadata!J289))),metadata!J289&gt;0))</f>
        <v>0</v>
      </c>
      <c r="AE289">
        <f>AND(IF(metadata!K289="",FALSE,TRUE),exact(metadata!K289,"g"))</f>
        <v>0</v>
      </c>
    </row>
    <row r="290" spans="1:31">
      <c r="A290" s="5">
        <f>IF(B290=" "," ",HYPERLINK(CONCATENATE("#metadata!",ADDRESS(INDEX($Q$2:$Q$1001,MATCH(ROWS($O$2:O290),$O$2:$O$1001,0),0),1)),INDEX($T$2:$T$1001,MATCH(ROWS($O$2:O290),$O$2:$O$1001,0),0)))</f>
        <v>0</v>
      </c>
      <c r="B290" s="4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4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4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4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4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4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4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4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4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4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OR(AND(IF(metadata!C290="",FALSE,TRUE),OR(exact(metadata!C290,"not applicable"),exact(metadata!C290,"missing: not collected"),exact(metadata!C290,"missing: not provided"),exact(metadata!C290,"missing: restricted access"))),AND(IF(metadata!C290="",FALSE,ISNUMBER(VALUE(metadata!C290))),metadata!C290&gt;0))</f>
        <v>0</v>
      </c>
      <c r="X290">
        <f>AND(IF(metadata!D290="",FALSE,TRUE),exact(metadata!D290,"weeks"))</f>
        <v>0</v>
      </c>
      <c r="Y290">
        <f>AND(IF(metadata!E290="",FALSE,TRUE),exact(metadata!E290,"urban biome"))</f>
        <v>0</v>
      </c>
      <c r="Z290">
        <f>AND(IF(metadata!F290="",FALSE,TRUE),exact(metadata!F290,"animal-associated habitat"))</f>
        <v>0</v>
      </c>
      <c r="AA290">
        <f>AND(IF(metadata!G290="",FALSE,TRUE),exact(metadata!G290,"mouse"))</f>
        <v>0</v>
      </c>
      <c r="AB290">
        <f>AND(IF(metadata!H290="",FALSE,TRUE),exact(metadata!H290,"Mus musculus"))</f>
        <v>0</v>
      </c>
      <c r="AC290">
        <f>AND(IF(metadata!I290="",FALSE,TRUE),exact(metadata!I290,"10090"))</f>
        <v>0</v>
      </c>
      <c r="AD290">
        <f>OR(AND(IF(metadata!J290="",FALSE,TRUE),OR(exact(metadata!J290,"not applicable"),exact(metadata!J290,"missing: not collected"),exact(metadata!J290,"missing: not provided"),exact(metadata!J290,"missing: restricted access"))),AND(IF(metadata!J290="",FALSE,ISNUMBER(VALUE(metadata!J290))),metadata!J290&gt;0))</f>
        <v>0</v>
      </c>
      <c r="AE290">
        <f>AND(IF(metadata!K290="",FALSE,TRUE),exact(metadata!K290,"g"))</f>
        <v>0</v>
      </c>
    </row>
    <row r="291" spans="1:31">
      <c r="A291" s="5">
        <f>IF(B291=" "," ",HYPERLINK(CONCATENATE("#metadata!",ADDRESS(INDEX($Q$2:$Q$1001,MATCH(ROWS($O$2:O291),$O$2:$O$1001,0),0),1)),INDEX($T$2:$T$1001,MATCH(ROWS($O$2:O291),$O$2:$O$1001,0),0)))</f>
        <v>0</v>
      </c>
      <c r="B291" s="4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4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4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4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4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4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4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4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4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4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OR(AND(IF(metadata!C291="",FALSE,TRUE),OR(exact(metadata!C291,"not applicable"),exact(metadata!C291,"missing: not collected"),exact(metadata!C291,"missing: not provided"),exact(metadata!C291,"missing: restricted access"))),AND(IF(metadata!C291="",FALSE,ISNUMBER(VALUE(metadata!C291))),metadata!C291&gt;0))</f>
        <v>0</v>
      </c>
      <c r="X291">
        <f>AND(IF(metadata!D291="",FALSE,TRUE),exact(metadata!D291,"weeks"))</f>
        <v>0</v>
      </c>
      <c r="Y291">
        <f>AND(IF(metadata!E291="",FALSE,TRUE),exact(metadata!E291,"urban biome"))</f>
        <v>0</v>
      </c>
      <c r="Z291">
        <f>AND(IF(metadata!F291="",FALSE,TRUE),exact(metadata!F291,"animal-associated habitat"))</f>
        <v>0</v>
      </c>
      <c r="AA291">
        <f>AND(IF(metadata!G291="",FALSE,TRUE),exact(metadata!G291,"mouse"))</f>
        <v>0</v>
      </c>
      <c r="AB291">
        <f>AND(IF(metadata!H291="",FALSE,TRUE),exact(metadata!H291,"Mus musculus"))</f>
        <v>0</v>
      </c>
      <c r="AC291">
        <f>AND(IF(metadata!I291="",FALSE,TRUE),exact(metadata!I291,"10090"))</f>
        <v>0</v>
      </c>
      <c r="AD291">
        <f>OR(AND(IF(metadata!J291="",FALSE,TRUE),OR(exact(metadata!J291,"not applicable"),exact(metadata!J291,"missing: not collected"),exact(metadata!J291,"missing: not provided"),exact(metadata!J291,"missing: restricted access"))),AND(IF(metadata!J291="",FALSE,ISNUMBER(VALUE(metadata!J291))),metadata!J291&gt;0))</f>
        <v>0</v>
      </c>
      <c r="AE291">
        <f>AND(IF(metadata!K291="",FALSE,TRUE),exact(metadata!K291,"g"))</f>
        <v>0</v>
      </c>
    </row>
    <row r="292" spans="1:31">
      <c r="A292" s="5">
        <f>IF(B292=" "," ",HYPERLINK(CONCATENATE("#metadata!",ADDRESS(INDEX($Q$2:$Q$1001,MATCH(ROWS($O$2:O292),$O$2:$O$1001,0),0),1)),INDEX($T$2:$T$1001,MATCH(ROWS($O$2:O292),$O$2:$O$1001,0),0)))</f>
        <v>0</v>
      </c>
      <c r="B292" s="4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4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4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4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4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4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4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4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4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4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OR(AND(IF(metadata!C292="",FALSE,TRUE),OR(exact(metadata!C292,"not applicable"),exact(metadata!C292,"missing: not collected"),exact(metadata!C292,"missing: not provided"),exact(metadata!C292,"missing: restricted access"))),AND(IF(metadata!C292="",FALSE,ISNUMBER(VALUE(metadata!C292))),metadata!C292&gt;0))</f>
        <v>0</v>
      </c>
      <c r="X292">
        <f>AND(IF(metadata!D292="",FALSE,TRUE),exact(metadata!D292,"weeks"))</f>
        <v>0</v>
      </c>
      <c r="Y292">
        <f>AND(IF(metadata!E292="",FALSE,TRUE),exact(metadata!E292,"urban biome"))</f>
        <v>0</v>
      </c>
      <c r="Z292">
        <f>AND(IF(metadata!F292="",FALSE,TRUE),exact(metadata!F292,"animal-associated habitat"))</f>
        <v>0</v>
      </c>
      <c r="AA292">
        <f>AND(IF(metadata!G292="",FALSE,TRUE),exact(metadata!G292,"mouse"))</f>
        <v>0</v>
      </c>
      <c r="AB292">
        <f>AND(IF(metadata!H292="",FALSE,TRUE),exact(metadata!H292,"Mus musculus"))</f>
        <v>0</v>
      </c>
      <c r="AC292">
        <f>AND(IF(metadata!I292="",FALSE,TRUE),exact(metadata!I292,"10090"))</f>
        <v>0</v>
      </c>
      <c r="AD292">
        <f>OR(AND(IF(metadata!J292="",FALSE,TRUE),OR(exact(metadata!J292,"not applicable"),exact(metadata!J292,"missing: not collected"),exact(metadata!J292,"missing: not provided"),exact(metadata!J292,"missing: restricted access"))),AND(IF(metadata!J292="",FALSE,ISNUMBER(VALUE(metadata!J292))),metadata!J292&gt;0))</f>
        <v>0</v>
      </c>
      <c r="AE292">
        <f>AND(IF(metadata!K292="",FALSE,TRUE),exact(metadata!K292,"g"))</f>
        <v>0</v>
      </c>
    </row>
    <row r="293" spans="1:31">
      <c r="A293" s="5">
        <f>IF(B293=" "," ",HYPERLINK(CONCATENATE("#metadata!",ADDRESS(INDEX($Q$2:$Q$1001,MATCH(ROWS($O$2:O293),$O$2:$O$1001,0),0),1)),INDEX($T$2:$T$1001,MATCH(ROWS($O$2:O293),$O$2:$O$1001,0),0)))</f>
        <v>0</v>
      </c>
      <c r="B293" s="4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4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4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4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4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4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4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4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4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4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OR(AND(IF(metadata!C293="",FALSE,TRUE),OR(exact(metadata!C293,"not applicable"),exact(metadata!C293,"missing: not collected"),exact(metadata!C293,"missing: not provided"),exact(metadata!C293,"missing: restricted access"))),AND(IF(metadata!C293="",FALSE,ISNUMBER(VALUE(metadata!C293))),metadata!C293&gt;0))</f>
        <v>0</v>
      </c>
      <c r="X293">
        <f>AND(IF(metadata!D293="",FALSE,TRUE),exact(metadata!D293,"weeks"))</f>
        <v>0</v>
      </c>
      <c r="Y293">
        <f>AND(IF(metadata!E293="",FALSE,TRUE),exact(metadata!E293,"urban biome"))</f>
        <v>0</v>
      </c>
      <c r="Z293">
        <f>AND(IF(metadata!F293="",FALSE,TRUE),exact(metadata!F293,"animal-associated habitat"))</f>
        <v>0</v>
      </c>
      <c r="AA293">
        <f>AND(IF(metadata!G293="",FALSE,TRUE),exact(metadata!G293,"mouse"))</f>
        <v>0</v>
      </c>
      <c r="AB293">
        <f>AND(IF(metadata!H293="",FALSE,TRUE),exact(metadata!H293,"Mus musculus"))</f>
        <v>0</v>
      </c>
      <c r="AC293">
        <f>AND(IF(metadata!I293="",FALSE,TRUE),exact(metadata!I293,"10090"))</f>
        <v>0</v>
      </c>
      <c r="AD293">
        <f>OR(AND(IF(metadata!J293="",FALSE,TRUE),OR(exact(metadata!J293,"not applicable"),exact(metadata!J293,"missing: not collected"),exact(metadata!J293,"missing: not provided"),exact(metadata!J293,"missing: restricted access"))),AND(IF(metadata!J293="",FALSE,ISNUMBER(VALUE(metadata!J293))),metadata!J293&gt;0))</f>
        <v>0</v>
      </c>
      <c r="AE293">
        <f>AND(IF(metadata!K293="",FALSE,TRUE),exact(metadata!K293,"g"))</f>
        <v>0</v>
      </c>
    </row>
    <row r="294" spans="1:31">
      <c r="A294" s="5">
        <f>IF(B294=" "," ",HYPERLINK(CONCATENATE("#metadata!",ADDRESS(INDEX($Q$2:$Q$1001,MATCH(ROWS($O$2:O294),$O$2:$O$1001,0),0),1)),INDEX($T$2:$T$1001,MATCH(ROWS($O$2:O294),$O$2:$O$1001,0),0)))</f>
        <v>0</v>
      </c>
      <c r="B294" s="4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4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4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4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4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4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4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4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4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4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OR(AND(IF(metadata!C294="",FALSE,TRUE),OR(exact(metadata!C294,"not applicable"),exact(metadata!C294,"missing: not collected"),exact(metadata!C294,"missing: not provided"),exact(metadata!C294,"missing: restricted access"))),AND(IF(metadata!C294="",FALSE,ISNUMBER(VALUE(metadata!C294))),metadata!C294&gt;0))</f>
        <v>0</v>
      </c>
      <c r="X294">
        <f>AND(IF(metadata!D294="",FALSE,TRUE),exact(metadata!D294,"weeks"))</f>
        <v>0</v>
      </c>
      <c r="Y294">
        <f>AND(IF(metadata!E294="",FALSE,TRUE),exact(metadata!E294,"urban biome"))</f>
        <v>0</v>
      </c>
      <c r="Z294">
        <f>AND(IF(metadata!F294="",FALSE,TRUE),exact(metadata!F294,"animal-associated habitat"))</f>
        <v>0</v>
      </c>
      <c r="AA294">
        <f>AND(IF(metadata!G294="",FALSE,TRUE),exact(metadata!G294,"mouse"))</f>
        <v>0</v>
      </c>
      <c r="AB294">
        <f>AND(IF(metadata!H294="",FALSE,TRUE),exact(metadata!H294,"Mus musculus"))</f>
        <v>0</v>
      </c>
      <c r="AC294">
        <f>AND(IF(metadata!I294="",FALSE,TRUE),exact(metadata!I294,"10090"))</f>
        <v>0</v>
      </c>
      <c r="AD294">
        <f>OR(AND(IF(metadata!J294="",FALSE,TRUE),OR(exact(metadata!J294,"not applicable"),exact(metadata!J294,"missing: not collected"),exact(metadata!J294,"missing: not provided"),exact(metadata!J294,"missing: restricted access"))),AND(IF(metadata!J294="",FALSE,ISNUMBER(VALUE(metadata!J294))),metadata!J294&gt;0))</f>
        <v>0</v>
      </c>
      <c r="AE294">
        <f>AND(IF(metadata!K294="",FALSE,TRUE),exact(metadata!K294,"g"))</f>
        <v>0</v>
      </c>
    </row>
    <row r="295" spans="1:31">
      <c r="A295" s="5">
        <f>IF(B295=" "," ",HYPERLINK(CONCATENATE("#metadata!",ADDRESS(INDEX($Q$2:$Q$1001,MATCH(ROWS($O$2:O295),$O$2:$O$1001,0),0),1)),INDEX($T$2:$T$1001,MATCH(ROWS($O$2:O295),$O$2:$O$1001,0),0)))</f>
        <v>0</v>
      </c>
      <c r="B295" s="4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4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4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4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4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4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4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4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4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4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OR(AND(IF(metadata!C295="",FALSE,TRUE),OR(exact(metadata!C295,"not applicable"),exact(metadata!C295,"missing: not collected"),exact(metadata!C295,"missing: not provided"),exact(metadata!C295,"missing: restricted access"))),AND(IF(metadata!C295="",FALSE,ISNUMBER(VALUE(metadata!C295))),metadata!C295&gt;0))</f>
        <v>0</v>
      </c>
      <c r="X295">
        <f>AND(IF(metadata!D295="",FALSE,TRUE),exact(metadata!D295,"weeks"))</f>
        <v>0</v>
      </c>
      <c r="Y295">
        <f>AND(IF(metadata!E295="",FALSE,TRUE),exact(metadata!E295,"urban biome"))</f>
        <v>0</v>
      </c>
      <c r="Z295">
        <f>AND(IF(metadata!F295="",FALSE,TRUE),exact(metadata!F295,"animal-associated habitat"))</f>
        <v>0</v>
      </c>
      <c r="AA295">
        <f>AND(IF(metadata!G295="",FALSE,TRUE),exact(metadata!G295,"mouse"))</f>
        <v>0</v>
      </c>
      <c r="AB295">
        <f>AND(IF(metadata!H295="",FALSE,TRUE),exact(metadata!H295,"Mus musculus"))</f>
        <v>0</v>
      </c>
      <c r="AC295">
        <f>AND(IF(metadata!I295="",FALSE,TRUE),exact(metadata!I295,"10090"))</f>
        <v>0</v>
      </c>
      <c r="AD295">
        <f>OR(AND(IF(metadata!J295="",FALSE,TRUE),OR(exact(metadata!J295,"not applicable"),exact(metadata!J295,"missing: not collected"),exact(metadata!J295,"missing: not provided"),exact(metadata!J295,"missing: restricted access"))),AND(IF(metadata!J295="",FALSE,ISNUMBER(VALUE(metadata!J295))),metadata!J295&gt;0))</f>
        <v>0</v>
      </c>
      <c r="AE295">
        <f>AND(IF(metadata!K295="",FALSE,TRUE),exact(metadata!K295,"g"))</f>
        <v>0</v>
      </c>
    </row>
    <row r="296" spans="1:31">
      <c r="A296" s="5">
        <f>IF(B296=" "," ",HYPERLINK(CONCATENATE("#metadata!",ADDRESS(INDEX($Q$2:$Q$1001,MATCH(ROWS($O$2:O296),$O$2:$O$1001,0),0),1)),INDEX($T$2:$T$1001,MATCH(ROWS($O$2:O296),$O$2:$O$1001,0),0)))</f>
        <v>0</v>
      </c>
      <c r="B296" s="4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4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4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4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4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4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4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4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4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4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OR(AND(IF(metadata!C296="",FALSE,TRUE),OR(exact(metadata!C296,"not applicable"),exact(metadata!C296,"missing: not collected"),exact(metadata!C296,"missing: not provided"),exact(metadata!C296,"missing: restricted access"))),AND(IF(metadata!C296="",FALSE,ISNUMBER(VALUE(metadata!C296))),metadata!C296&gt;0))</f>
        <v>0</v>
      </c>
      <c r="X296">
        <f>AND(IF(metadata!D296="",FALSE,TRUE),exact(metadata!D296,"weeks"))</f>
        <v>0</v>
      </c>
      <c r="Y296">
        <f>AND(IF(metadata!E296="",FALSE,TRUE),exact(metadata!E296,"urban biome"))</f>
        <v>0</v>
      </c>
      <c r="Z296">
        <f>AND(IF(metadata!F296="",FALSE,TRUE),exact(metadata!F296,"animal-associated habitat"))</f>
        <v>0</v>
      </c>
      <c r="AA296">
        <f>AND(IF(metadata!G296="",FALSE,TRUE),exact(metadata!G296,"mouse"))</f>
        <v>0</v>
      </c>
      <c r="AB296">
        <f>AND(IF(metadata!H296="",FALSE,TRUE),exact(metadata!H296,"Mus musculus"))</f>
        <v>0</v>
      </c>
      <c r="AC296">
        <f>AND(IF(metadata!I296="",FALSE,TRUE),exact(metadata!I296,"10090"))</f>
        <v>0</v>
      </c>
      <c r="AD296">
        <f>OR(AND(IF(metadata!J296="",FALSE,TRUE),OR(exact(metadata!J296,"not applicable"),exact(metadata!J296,"missing: not collected"),exact(metadata!J296,"missing: not provided"),exact(metadata!J296,"missing: restricted access"))),AND(IF(metadata!J296="",FALSE,ISNUMBER(VALUE(metadata!J296))),metadata!J296&gt;0))</f>
        <v>0</v>
      </c>
      <c r="AE296">
        <f>AND(IF(metadata!K296="",FALSE,TRUE),exact(metadata!K296,"g"))</f>
        <v>0</v>
      </c>
    </row>
    <row r="297" spans="1:31">
      <c r="A297" s="5">
        <f>IF(B297=" "," ",HYPERLINK(CONCATENATE("#metadata!",ADDRESS(INDEX($Q$2:$Q$1001,MATCH(ROWS($O$2:O297),$O$2:$O$1001,0),0),1)),INDEX($T$2:$T$1001,MATCH(ROWS($O$2:O297),$O$2:$O$1001,0),0)))</f>
        <v>0</v>
      </c>
      <c r="B297" s="4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4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4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4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4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4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4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4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4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4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OR(AND(IF(metadata!C297="",FALSE,TRUE),OR(exact(metadata!C297,"not applicable"),exact(metadata!C297,"missing: not collected"),exact(metadata!C297,"missing: not provided"),exact(metadata!C297,"missing: restricted access"))),AND(IF(metadata!C297="",FALSE,ISNUMBER(VALUE(metadata!C297))),metadata!C297&gt;0))</f>
        <v>0</v>
      </c>
      <c r="X297">
        <f>AND(IF(metadata!D297="",FALSE,TRUE),exact(metadata!D297,"weeks"))</f>
        <v>0</v>
      </c>
      <c r="Y297">
        <f>AND(IF(metadata!E297="",FALSE,TRUE),exact(metadata!E297,"urban biome"))</f>
        <v>0</v>
      </c>
      <c r="Z297">
        <f>AND(IF(metadata!F297="",FALSE,TRUE),exact(metadata!F297,"animal-associated habitat"))</f>
        <v>0</v>
      </c>
      <c r="AA297">
        <f>AND(IF(metadata!G297="",FALSE,TRUE),exact(metadata!G297,"mouse"))</f>
        <v>0</v>
      </c>
      <c r="AB297">
        <f>AND(IF(metadata!H297="",FALSE,TRUE),exact(metadata!H297,"Mus musculus"))</f>
        <v>0</v>
      </c>
      <c r="AC297">
        <f>AND(IF(metadata!I297="",FALSE,TRUE),exact(metadata!I297,"10090"))</f>
        <v>0</v>
      </c>
      <c r="AD297">
        <f>OR(AND(IF(metadata!J297="",FALSE,TRUE),OR(exact(metadata!J297,"not applicable"),exact(metadata!J297,"missing: not collected"),exact(metadata!J297,"missing: not provided"),exact(metadata!J297,"missing: restricted access"))),AND(IF(metadata!J297="",FALSE,ISNUMBER(VALUE(metadata!J297))),metadata!J297&gt;0))</f>
        <v>0</v>
      </c>
      <c r="AE297">
        <f>AND(IF(metadata!K297="",FALSE,TRUE),exact(metadata!K297,"g"))</f>
        <v>0</v>
      </c>
    </row>
    <row r="298" spans="1:31">
      <c r="A298" s="5">
        <f>IF(B298=" "," ",HYPERLINK(CONCATENATE("#metadata!",ADDRESS(INDEX($Q$2:$Q$1001,MATCH(ROWS($O$2:O298),$O$2:$O$1001,0),0),1)),INDEX($T$2:$T$1001,MATCH(ROWS($O$2:O298),$O$2:$O$1001,0),0)))</f>
        <v>0</v>
      </c>
      <c r="B298" s="4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4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4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4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4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4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4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4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4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4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OR(AND(IF(metadata!C298="",FALSE,TRUE),OR(exact(metadata!C298,"not applicable"),exact(metadata!C298,"missing: not collected"),exact(metadata!C298,"missing: not provided"),exact(metadata!C298,"missing: restricted access"))),AND(IF(metadata!C298="",FALSE,ISNUMBER(VALUE(metadata!C298))),metadata!C298&gt;0))</f>
        <v>0</v>
      </c>
      <c r="X298">
        <f>AND(IF(metadata!D298="",FALSE,TRUE),exact(metadata!D298,"weeks"))</f>
        <v>0</v>
      </c>
      <c r="Y298">
        <f>AND(IF(metadata!E298="",FALSE,TRUE),exact(metadata!E298,"urban biome"))</f>
        <v>0</v>
      </c>
      <c r="Z298">
        <f>AND(IF(metadata!F298="",FALSE,TRUE),exact(metadata!F298,"animal-associated habitat"))</f>
        <v>0</v>
      </c>
      <c r="AA298">
        <f>AND(IF(metadata!G298="",FALSE,TRUE),exact(metadata!G298,"mouse"))</f>
        <v>0</v>
      </c>
      <c r="AB298">
        <f>AND(IF(metadata!H298="",FALSE,TRUE),exact(metadata!H298,"Mus musculus"))</f>
        <v>0</v>
      </c>
      <c r="AC298">
        <f>AND(IF(metadata!I298="",FALSE,TRUE),exact(metadata!I298,"10090"))</f>
        <v>0</v>
      </c>
      <c r="AD298">
        <f>OR(AND(IF(metadata!J298="",FALSE,TRUE),OR(exact(metadata!J298,"not applicable"),exact(metadata!J298,"missing: not collected"),exact(metadata!J298,"missing: not provided"),exact(metadata!J298,"missing: restricted access"))),AND(IF(metadata!J298="",FALSE,ISNUMBER(VALUE(metadata!J298))),metadata!J298&gt;0))</f>
        <v>0</v>
      </c>
      <c r="AE298">
        <f>AND(IF(metadata!K298="",FALSE,TRUE),exact(metadata!K298,"g"))</f>
        <v>0</v>
      </c>
    </row>
    <row r="299" spans="1:31">
      <c r="A299" s="5">
        <f>IF(B299=" "," ",HYPERLINK(CONCATENATE("#metadata!",ADDRESS(INDEX($Q$2:$Q$1001,MATCH(ROWS($O$2:O299),$O$2:$O$1001,0),0),1)),INDEX($T$2:$T$1001,MATCH(ROWS($O$2:O299),$O$2:$O$1001,0),0)))</f>
        <v>0</v>
      </c>
      <c r="B299" s="4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4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4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4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4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4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4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4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4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4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OR(AND(IF(metadata!C299="",FALSE,TRUE),OR(exact(metadata!C299,"not applicable"),exact(metadata!C299,"missing: not collected"),exact(metadata!C299,"missing: not provided"),exact(metadata!C299,"missing: restricted access"))),AND(IF(metadata!C299="",FALSE,ISNUMBER(VALUE(metadata!C299))),metadata!C299&gt;0))</f>
        <v>0</v>
      </c>
      <c r="X299">
        <f>AND(IF(metadata!D299="",FALSE,TRUE),exact(metadata!D299,"weeks"))</f>
        <v>0</v>
      </c>
      <c r="Y299">
        <f>AND(IF(metadata!E299="",FALSE,TRUE),exact(metadata!E299,"urban biome"))</f>
        <v>0</v>
      </c>
      <c r="Z299">
        <f>AND(IF(metadata!F299="",FALSE,TRUE),exact(metadata!F299,"animal-associated habitat"))</f>
        <v>0</v>
      </c>
      <c r="AA299">
        <f>AND(IF(metadata!G299="",FALSE,TRUE),exact(metadata!G299,"mouse"))</f>
        <v>0</v>
      </c>
      <c r="AB299">
        <f>AND(IF(metadata!H299="",FALSE,TRUE),exact(metadata!H299,"Mus musculus"))</f>
        <v>0</v>
      </c>
      <c r="AC299">
        <f>AND(IF(metadata!I299="",FALSE,TRUE),exact(metadata!I299,"10090"))</f>
        <v>0</v>
      </c>
      <c r="AD299">
        <f>OR(AND(IF(metadata!J299="",FALSE,TRUE),OR(exact(metadata!J299,"not applicable"),exact(metadata!J299,"missing: not collected"),exact(metadata!J299,"missing: not provided"),exact(metadata!J299,"missing: restricted access"))),AND(IF(metadata!J299="",FALSE,ISNUMBER(VALUE(metadata!J299))),metadata!J299&gt;0))</f>
        <v>0</v>
      </c>
      <c r="AE299">
        <f>AND(IF(metadata!K299="",FALSE,TRUE),exact(metadata!K299,"g"))</f>
        <v>0</v>
      </c>
    </row>
    <row r="300" spans="1:31">
      <c r="A300" s="5">
        <f>IF(B300=" "," ",HYPERLINK(CONCATENATE("#metadata!",ADDRESS(INDEX($Q$2:$Q$1001,MATCH(ROWS($O$2:O300),$O$2:$O$1001,0),0),1)),INDEX($T$2:$T$1001,MATCH(ROWS($O$2:O300),$O$2:$O$1001,0),0)))</f>
        <v>0</v>
      </c>
      <c r="B300" s="4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4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4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4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4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4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4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4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4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4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OR(AND(IF(metadata!C300="",FALSE,TRUE),OR(exact(metadata!C300,"not applicable"),exact(metadata!C300,"missing: not collected"),exact(metadata!C300,"missing: not provided"),exact(metadata!C300,"missing: restricted access"))),AND(IF(metadata!C300="",FALSE,ISNUMBER(VALUE(metadata!C300))),metadata!C300&gt;0))</f>
        <v>0</v>
      </c>
      <c r="X300">
        <f>AND(IF(metadata!D300="",FALSE,TRUE),exact(metadata!D300,"weeks"))</f>
        <v>0</v>
      </c>
      <c r="Y300">
        <f>AND(IF(metadata!E300="",FALSE,TRUE),exact(metadata!E300,"urban biome"))</f>
        <v>0</v>
      </c>
      <c r="Z300">
        <f>AND(IF(metadata!F300="",FALSE,TRUE),exact(metadata!F300,"animal-associated habitat"))</f>
        <v>0</v>
      </c>
      <c r="AA300">
        <f>AND(IF(metadata!G300="",FALSE,TRUE),exact(metadata!G300,"mouse"))</f>
        <v>0</v>
      </c>
      <c r="AB300">
        <f>AND(IF(metadata!H300="",FALSE,TRUE),exact(metadata!H300,"Mus musculus"))</f>
        <v>0</v>
      </c>
      <c r="AC300">
        <f>AND(IF(metadata!I300="",FALSE,TRUE),exact(metadata!I300,"10090"))</f>
        <v>0</v>
      </c>
      <c r="AD300">
        <f>OR(AND(IF(metadata!J300="",FALSE,TRUE),OR(exact(metadata!J300,"not applicable"),exact(metadata!J300,"missing: not collected"),exact(metadata!J300,"missing: not provided"),exact(metadata!J300,"missing: restricted access"))),AND(IF(metadata!J300="",FALSE,ISNUMBER(VALUE(metadata!J300))),metadata!J300&gt;0))</f>
        <v>0</v>
      </c>
      <c r="AE300">
        <f>AND(IF(metadata!K300="",FALSE,TRUE),exact(metadata!K300,"g"))</f>
        <v>0</v>
      </c>
    </row>
    <row r="301" spans="1:31">
      <c r="A301" s="5">
        <f>IF(B301=" "," ",HYPERLINK(CONCATENATE("#metadata!",ADDRESS(INDEX($Q$2:$Q$1001,MATCH(ROWS($O$2:O301),$O$2:$O$1001,0),0),1)),INDEX($T$2:$T$1001,MATCH(ROWS($O$2:O301),$O$2:$O$1001,0),0)))</f>
        <v>0</v>
      </c>
      <c r="B301" s="4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4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4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4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4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4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4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4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4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4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OR(AND(IF(metadata!C301="",FALSE,TRUE),OR(exact(metadata!C301,"not applicable"),exact(metadata!C301,"missing: not collected"),exact(metadata!C301,"missing: not provided"),exact(metadata!C301,"missing: restricted access"))),AND(IF(metadata!C301="",FALSE,ISNUMBER(VALUE(metadata!C301))),metadata!C301&gt;0))</f>
        <v>0</v>
      </c>
      <c r="X301">
        <f>AND(IF(metadata!D301="",FALSE,TRUE),exact(metadata!D301,"weeks"))</f>
        <v>0</v>
      </c>
      <c r="Y301">
        <f>AND(IF(metadata!E301="",FALSE,TRUE),exact(metadata!E301,"urban biome"))</f>
        <v>0</v>
      </c>
      <c r="Z301">
        <f>AND(IF(metadata!F301="",FALSE,TRUE),exact(metadata!F301,"animal-associated habitat"))</f>
        <v>0</v>
      </c>
      <c r="AA301">
        <f>AND(IF(metadata!G301="",FALSE,TRUE),exact(metadata!G301,"mouse"))</f>
        <v>0</v>
      </c>
      <c r="AB301">
        <f>AND(IF(metadata!H301="",FALSE,TRUE),exact(metadata!H301,"Mus musculus"))</f>
        <v>0</v>
      </c>
      <c r="AC301">
        <f>AND(IF(metadata!I301="",FALSE,TRUE),exact(metadata!I301,"10090"))</f>
        <v>0</v>
      </c>
      <c r="AD301">
        <f>OR(AND(IF(metadata!J301="",FALSE,TRUE),OR(exact(metadata!J301,"not applicable"),exact(metadata!J301,"missing: not collected"),exact(metadata!J301,"missing: not provided"),exact(metadata!J301,"missing: restricted access"))),AND(IF(metadata!J301="",FALSE,ISNUMBER(VALUE(metadata!J301))),metadata!J301&gt;0))</f>
        <v>0</v>
      </c>
      <c r="AE301">
        <f>AND(IF(metadata!K301="",FALSE,TRUE),exact(metadata!K301,"g"))</f>
        <v>0</v>
      </c>
    </row>
    <row r="302" spans="1:31">
      <c r="A302" s="5">
        <f>IF(B302=" "," ",HYPERLINK(CONCATENATE("#metadata!",ADDRESS(INDEX($Q$2:$Q$1001,MATCH(ROWS($O$2:O302),$O$2:$O$1001,0),0),1)),INDEX($T$2:$T$1001,MATCH(ROWS($O$2:O302),$O$2:$O$1001,0),0)))</f>
        <v>0</v>
      </c>
      <c r="B302" s="4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4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4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4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4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4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4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4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4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4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OR(AND(IF(metadata!C302="",FALSE,TRUE),OR(exact(metadata!C302,"not applicable"),exact(metadata!C302,"missing: not collected"),exact(metadata!C302,"missing: not provided"),exact(metadata!C302,"missing: restricted access"))),AND(IF(metadata!C302="",FALSE,ISNUMBER(VALUE(metadata!C302))),metadata!C302&gt;0))</f>
        <v>0</v>
      </c>
      <c r="X302">
        <f>AND(IF(metadata!D302="",FALSE,TRUE),exact(metadata!D302,"weeks"))</f>
        <v>0</v>
      </c>
      <c r="Y302">
        <f>AND(IF(metadata!E302="",FALSE,TRUE),exact(metadata!E302,"urban biome"))</f>
        <v>0</v>
      </c>
      <c r="Z302">
        <f>AND(IF(metadata!F302="",FALSE,TRUE),exact(metadata!F302,"animal-associated habitat"))</f>
        <v>0</v>
      </c>
      <c r="AA302">
        <f>AND(IF(metadata!G302="",FALSE,TRUE),exact(metadata!G302,"mouse"))</f>
        <v>0</v>
      </c>
      <c r="AB302">
        <f>AND(IF(metadata!H302="",FALSE,TRUE),exact(metadata!H302,"Mus musculus"))</f>
        <v>0</v>
      </c>
      <c r="AC302">
        <f>AND(IF(metadata!I302="",FALSE,TRUE),exact(metadata!I302,"10090"))</f>
        <v>0</v>
      </c>
      <c r="AD302">
        <f>OR(AND(IF(metadata!J302="",FALSE,TRUE),OR(exact(metadata!J302,"not applicable"),exact(metadata!J302,"missing: not collected"),exact(metadata!J302,"missing: not provided"),exact(metadata!J302,"missing: restricted access"))),AND(IF(metadata!J302="",FALSE,ISNUMBER(VALUE(metadata!J302))),metadata!J302&gt;0))</f>
        <v>0</v>
      </c>
      <c r="AE302">
        <f>AND(IF(metadata!K302="",FALSE,TRUE),exact(metadata!K302,"g"))</f>
        <v>0</v>
      </c>
    </row>
    <row r="303" spans="1:31">
      <c r="A303" s="5">
        <f>IF(B303=" "," ",HYPERLINK(CONCATENATE("#metadata!",ADDRESS(INDEX($Q$2:$Q$1001,MATCH(ROWS($O$2:O303),$O$2:$O$1001,0),0),1)),INDEX($T$2:$T$1001,MATCH(ROWS($O$2:O303),$O$2:$O$1001,0),0)))</f>
        <v>0</v>
      </c>
      <c r="B303" s="4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4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4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4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4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4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4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4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4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4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OR(AND(IF(metadata!C303="",FALSE,TRUE),OR(exact(metadata!C303,"not applicable"),exact(metadata!C303,"missing: not collected"),exact(metadata!C303,"missing: not provided"),exact(metadata!C303,"missing: restricted access"))),AND(IF(metadata!C303="",FALSE,ISNUMBER(VALUE(metadata!C303))),metadata!C303&gt;0))</f>
        <v>0</v>
      </c>
      <c r="X303">
        <f>AND(IF(metadata!D303="",FALSE,TRUE),exact(metadata!D303,"weeks"))</f>
        <v>0</v>
      </c>
      <c r="Y303">
        <f>AND(IF(metadata!E303="",FALSE,TRUE),exact(metadata!E303,"urban biome"))</f>
        <v>0</v>
      </c>
      <c r="Z303">
        <f>AND(IF(metadata!F303="",FALSE,TRUE),exact(metadata!F303,"animal-associated habitat"))</f>
        <v>0</v>
      </c>
      <c r="AA303">
        <f>AND(IF(metadata!G303="",FALSE,TRUE),exact(metadata!G303,"mouse"))</f>
        <v>0</v>
      </c>
      <c r="AB303">
        <f>AND(IF(metadata!H303="",FALSE,TRUE),exact(metadata!H303,"Mus musculus"))</f>
        <v>0</v>
      </c>
      <c r="AC303">
        <f>AND(IF(metadata!I303="",FALSE,TRUE),exact(metadata!I303,"10090"))</f>
        <v>0</v>
      </c>
      <c r="AD303">
        <f>OR(AND(IF(metadata!J303="",FALSE,TRUE),OR(exact(metadata!J303,"not applicable"),exact(metadata!J303,"missing: not collected"),exact(metadata!J303,"missing: not provided"),exact(metadata!J303,"missing: restricted access"))),AND(IF(metadata!J303="",FALSE,ISNUMBER(VALUE(metadata!J303))),metadata!J303&gt;0))</f>
        <v>0</v>
      </c>
      <c r="AE303">
        <f>AND(IF(metadata!K303="",FALSE,TRUE),exact(metadata!K303,"g"))</f>
        <v>0</v>
      </c>
    </row>
    <row r="304" spans="1:31">
      <c r="A304" s="5">
        <f>IF(B304=" "," ",HYPERLINK(CONCATENATE("#metadata!",ADDRESS(INDEX($Q$2:$Q$1001,MATCH(ROWS($O$2:O304),$O$2:$O$1001,0),0),1)),INDEX($T$2:$T$1001,MATCH(ROWS($O$2:O304),$O$2:$O$1001,0),0)))</f>
        <v>0</v>
      </c>
      <c r="B304" s="4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4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4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4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4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4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4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4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4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4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OR(AND(IF(metadata!C304="",FALSE,TRUE),OR(exact(metadata!C304,"not applicable"),exact(metadata!C304,"missing: not collected"),exact(metadata!C304,"missing: not provided"),exact(metadata!C304,"missing: restricted access"))),AND(IF(metadata!C304="",FALSE,ISNUMBER(VALUE(metadata!C304))),metadata!C304&gt;0))</f>
        <v>0</v>
      </c>
      <c r="X304">
        <f>AND(IF(metadata!D304="",FALSE,TRUE),exact(metadata!D304,"weeks"))</f>
        <v>0</v>
      </c>
      <c r="Y304">
        <f>AND(IF(metadata!E304="",FALSE,TRUE),exact(metadata!E304,"urban biome"))</f>
        <v>0</v>
      </c>
      <c r="Z304">
        <f>AND(IF(metadata!F304="",FALSE,TRUE),exact(metadata!F304,"animal-associated habitat"))</f>
        <v>0</v>
      </c>
      <c r="AA304">
        <f>AND(IF(metadata!G304="",FALSE,TRUE),exact(metadata!G304,"mouse"))</f>
        <v>0</v>
      </c>
      <c r="AB304">
        <f>AND(IF(metadata!H304="",FALSE,TRUE),exact(metadata!H304,"Mus musculus"))</f>
        <v>0</v>
      </c>
      <c r="AC304">
        <f>AND(IF(metadata!I304="",FALSE,TRUE),exact(metadata!I304,"10090"))</f>
        <v>0</v>
      </c>
      <c r="AD304">
        <f>OR(AND(IF(metadata!J304="",FALSE,TRUE),OR(exact(metadata!J304,"not applicable"),exact(metadata!J304,"missing: not collected"),exact(metadata!J304,"missing: not provided"),exact(metadata!J304,"missing: restricted access"))),AND(IF(metadata!J304="",FALSE,ISNUMBER(VALUE(metadata!J304))),metadata!J304&gt;0))</f>
        <v>0</v>
      </c>
      <c r="AE304">
        <f>AND(IF(metadata!K304="",FALSE,TRUE),exact(metadata!K304,"g"))</f>
        <v>0</v>
      </c>
    </row>
    <row r="305" spans="1:31">
      <c r="A305" s="5">
        <f>IF(B305=" "," ",HYPERLINK(CONCATENATE("#metadata!",ADDRESS(INDEX($Q$2:$Q$1001,MATCH(ROWS($O$2:O305),$O$2:$O$1001,0),0),1)),INDEX($T$2:$T$1001,MATCH(ROWS($O$2:O305),$O$2:$O$1001,0),0)))</f>
        <v>0</v>
      </c>
      <c r="B305" s="4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4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4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4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4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4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4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4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4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4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OR(AND(IF(metadata!C305="",FALSE,TRUE),OR(exact(metadata!C305,"not applicable"),exact(metadata!C305,"missing: not collected"),exact(metadata!C305,"missing: not provided"),exact(metadata!C305,"missing: restricted access"))),AND(IF(metadata!C305="",FALSE,ISNUMBER(VALUE(metadata!C305))),metadata!C305&gt;0))</f>
        <v>0</v>
      </c>
      <c r="X305">
        <f>AND(IF(metadata!D305="",FALSE,TRUE),exact(metadata!D305,"weeks"))</f>
        <v>0</v>
      </c>
      <c r="Y305">
        <f>AND(IF(metadata!E305="",FALSE,TRUE),exact(metadata!E305,"urban biome"))</f>
        <v>0</v>
      </c>
      <c r="Z305">
        <f>AND(IF(metadata!F305="",FALSE,TRUE),exact(metadata!F305,"animal-associated habitat"))</f>
        <v>0</v>
      </c>
      <c r="AA305">
        <f>AND(IF(metadata!G305="",FALSE,TRUE),exact(metadata!G305,"mouse"))</f>
        <v>0</v>
      </c>
      <c r="AB305">
        <f>AND(IF(metadata!H305="",FALSE,TRUE),exact(metadata!H305,"Mus musculus"))</f>
        <v>0</v>
      </c>
      <c r="AC305">
        <f>AND(IF(metadata!I305="",FALSE,TRUE),exact(metadata!I305,"10090"))</f>
        <v>0</v>
      </c>
      <c r="AD305">
        <f>OR(AND(IF(metadata!J305="",FALSE,TRUE),OR(exact(metadata!J305,"not applicable"),exact(metadata!J305,"missing: not collected"),exact(metadata!J305,"missing: not provided"),exact(metadata!J305,"missing: restricted access"))),AND(IF(metadata!J305="",FALSE,ISNUMBER(VALUE(metadata!J305))),metadata!J305&gt;0))</f>
        <v>0</v>
      </c>
      <c r="AE305">
        <f>AND(IF(metadata!K305="",FALSE,TRUE),exact(metadata!K305,"g"))</f>
        <v>0</v>
      </c>
    </row>
    <row r="306" spans="1:31">
      <c r="A306" s="5">
        <f>IF(B306=" "," ",HYPERLINK(CONCATENATE("#metadata!",ADDRESS(INDEX($Q$2:$Q$1001,MATCH(ROWS($O$2:O306),$O$2:$O$1001,0),0),1)),INDEX($T$2:$T$1001,MATCH(ROWS($O$2:O306),$O$2:$O$1001,0),0)))</f>
        <v>0</v>
      </c>
      <c r="B306" s="4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4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4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4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4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4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4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4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4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4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OR(AND(IF(metadata!C306="",FALSE,TRUE),OR(exact(metadata!C306,"not applicable"),exact(metadata!C306,"missing: not collected"),exact(metadata!C306,"missing: not provided"),exact(metadata!C306,"missing: restricted access"))),AND(IF(metadata!C306="",FALSE,ISNUMBER(VALUE(metadata!C306))),metadata!C306&gt;0))</f>
        <v>0</v>
      </c>
      <c r="X306">
        <f>AND(IF(metadata!D306="",FALSE,TRUE),exact(metadata!D306,"weeks"))</f>
        <v>0</v>
      </c>
      <c r="Y306">
        <f>AND(IF(metadata!E306="",FALSE,TRUE),exact(metadata!E306,"urban biome"))</f>
        <v>0</v>
      </c>
      <c r="Z306">
        <f>AND(IF(metadata!F306="",FALSE,TRUE),exact(metadata!F306,"animal-associated habitat"))</f>
        <v>0</v>
      </c>
      <c r="AA306">
        <f>AND(IF(metadata!G306="",FALSE,TRUE),exact(metadata!G306,"mouse"))</f>
        <v>0</v>
      </c>
      <c r="AB306">
        <f>AND(IF(metadata!H306="",FALSE,TRUE),exact(metadata!H306,"Mus musculus"))</f>
        <v>0</v>
      </c>
      <c r="AC306">
        <f>AND(IF(metadata!I306="",FALSE,TRUE),exact(metadata!I306,"10090"))</f>
        <v>0</v>
      </c>
      <c r="AD306">
        <f>OR(AND(IF(metadata!J306="",FALSE,TRUE),OR(exact(metadata!J306,"not applicable"),exact(metadata!J306,"missing: not collected"),exact(metadata!J306,"missing: not provided"),exact(metadata!J306,"missing: restricted access"))),AND(IF(metadata!J306="",FALSE,ISNUMBER(VALUE(metadata!J306))),metadata!J306&gt;0))</f>
        <v>0</v>
      </c>
      <c r="AE306">
        <f>AND(IF(metadata!K306="",FALSE,TRUE),exact(metadata!K306,"g"))</f>
        <v>0</v>
      </c>
    </row>
    <row r="307" spans="1:31">
      <c r="A307" s="5">
        <f>IF(B307=" "," ",HYPERLINK(CONCATENATE("#metadata!",ADDRESS(INDEX($Q$2:$Q$1001,MATCH(ROWS($O$2:O307),$O$2:$O$1001,0),0),1)),INDEX($T$2:$T$1001,MATCH(ROWS($O$2:O307),$O$2:$O$1001,0),0)))</f>
        <v>0</v>
      </c>
      <c r="B307" s="4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4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4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4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4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4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4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4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4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4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OR(AND(IF(metadata!C307="",FALSE,TRUE),OR(exact(metadata!C307,"not applicable"),exact(metadata!C307,"missing: not collected"),exact(metadata!C307,"missing: not provided"),exact(metadata!C307,"missing: restricted access"))),AND(IF(metadata!C307="",FALSE,ISNUMBER(VALUE(metadata!C307))),metadata!C307&gt;0))</f>
        <v>0</v>
      </c>
      <c r="X307">
        <f>AND(IF(metadata!D307="",FALSE,TRUE),exact(metadata!D307,"weeks"))</f>
        <v>0</v>
      </c>
      <c r="Y307">
        <f>AND(IF(metadata!E307="",FALSE,TRUE),exact(metadata!E307,"urban biome"))</f>
        <v>0</v>
      </c>
      <c r="Z307">
        <f>AND(IF(metadata!F307="",FALSE,TRUE),exact(metadata!F307,"animal-associated habitat"))</f>
        <v>0</v>
      </c>
      <c r="AA307">
        <f>AND(IF(metadata!G307="",FALSE,TRUE),exact(metadata!G307,"mouse"))</f>
        <v>0</v>
      </c>
      <c r="AB307">
        <f>AND(IF(metadata!H307="",FALSE,TRUE),exact(metadata!H307,"Mus musculus"))</f>
        <v>0</v>
      </c>
      <c r="AC307">
        <f>AND(IF(metadata!I307="",FALSE,TRUE),exact(metadata!I307,"10090"))</f>
        <v>0</v>
      </c>
      <c r="AD307">
        <f>OR(AND(IF(metadata!J307="",FALSE,TRUE),OR(exact(metadata!J307,"not applicable"),exact(metadata!J307,"missing: not collected"),exact(metadata!J307,"missing: not provided"),exact(metadata!J307,"missing: restricted access"))),AND(IF(metadata!J307="",FALSE,ISNUMBER(VALUE(metadata!J307))),metadata!J307&gt;0))</f>
        <v>0</v>
      </c>
      <c r="AE307">
        <f>AND(IF(metadata!K307="",FALSE,TRUE),exact(metadata!K307,"g"))</f>
        <v>0</v>
      </c>
    </row>
    <row r="308" spans="1:31">
      <c r="A308" s="5">
        <f>IF(B308=" "," ",HYPERLINK(CONCATENATE("#metadata!",ADDRESS(INDEX($Q$2:$Q$1001,MATCH(ROWS($O$2:O308),$O$2:$O$1001,0),0),1)),INDEX($T$2:$T$1001,MATCH(ROWS($O$2:O308),$O$2:$O$1001,0),0)))</f>
        <v>0</v>
      </c>
      <c r="B308" s="4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4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4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4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4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4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4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4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4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4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OR(AND(IF(metadata!C308="",FALSE,TRUE),OR(exact(metadata!C308,"not applicable"),exact(metadata!C308,"missing: not collected"),exact(metadata!C308,"missing: not provided"),exact(metadata!C308,"missing: restricted access"))),AND(IF(metadata!C308="",FALSE,ISNUMBER(VALUE(metadata!C308))),metadata!C308&gt;0))</f>
        <v>0</v>
      </c>
      <c r="X308">
        <f>AND(IF(metadata!D308="",FALSE,TRUE),exact(metadata!D308,"weeks"))</f>
        <v>0</v>
      </c>
      <c r="Y308">
        <f>AND(IF(metadata!E308="",FALSE,TRUE),exact(metadata!E308,"urban biome"))</f>
        <v>0</v>
      </c>
      <c r="Z308">
        <f>AND(IF(metadata!F308="",FALSE,TRUE),exact(metadata!F308,"animal-associated habitat"))</f>
        <v>0</v>
      </c>
      <c r="AA308">
        <f>AND(IF(metadata!G308="",FALSE,TRUE),exact(metadata!G308,"mouse"))</f>
        <v>0</v>
      </c>
      <c r="AB308">
        <f>AND(IF(metadata!H308="",FALSE,TRUE),exact(metadata!H308,"Mus musculus"))</f>
        <v>0</v>
      </c>
      <c r="AC308">
        <f>AND(IF(metadata!I308="",FALSE,TRUE),exact(metadata!I308,"10090"))</f>
        <v>0</v>
      </c>
      <c r="AD308">
        <f>OR(AND(IF(metadata!J308="",FALSE,TRUE),OR(exact(metadata!J308,"not applicable"),exact(metadata!J308,"missing: not collected"),exact(metadata!J308,"missing: not provided"),exact(metadata!J308,"missing: restricted access"))),AND(IF(metadata!J308="",FALSE,ISNUMBER(VALUE(metadata!J308))),metadata!J308&gt;0))</f>
        <v>0</v>
      </c>
      <c r="AE308">
        <f>AND(IF(metadata!K308="",FALSE,TRUE),exact(metadata!K308,"g"))</f>
        <v>0</v>
      </c>
    </row>
    <row r="309" spans="1:31">
      <c r="A309" s="5">
        <f>IF(B309=" "," ",HYPERLINK(CONCATENATE("#metadata!",ADDRESS(INDEX($Q$2:$Q$1001,MATCH(ROWS($O$2:O309),$O$2:$O$1001,0),0),1)),INDEX($T$2:$T$1001,MATCH(ROWS($O$2:O309),$O$2:$O$1001,0),0)))</f>
        <v>0</v>
      </c>
      <c r="B309" s="4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4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4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4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4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4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4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4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4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4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OR(AND(IF(metadata!C309="",FALSE,TRUE),OR(exact(metadata!C309,"not applicable"),exact(metadata!C309,"missing: not collected"),exact(metadata!C309,"missing: not provided"),exact(metadata!C309,"missing: restricted access"))),AND(IF(metadata!C309="",FALSE,ISNUMBER(VALUE(metadata!C309))),metadata!C309&gt;0))</f>
        <v>0</v>
      </c>
      <c r="X309">
        <f>AND(IF(metadata!D309="",FALSE,TRUE),exact(metadata!D309,"weeks"))</f>
        <v>0</v>
      </c>
      <c r="Y309">
        <f>AND(IF(metadata!E309="",FALSE,TRUE),exact(metadata!E309,"urban biome"))</f>
        <v>0</v>
      </c>
      <c r="Z309">
        <f>AND(IF(metadata!F309="",FALSE,TRUE),exact(metadata!F309,"animal-associated habitat"))</f>
        <v>0</v>
      </c>
      <c r="AA309">
        <f>AND(IF(metadata!G309="",FALSE,TRUE),exact(metadata!G309,"mouse"))</f>
        <v>0</v>
      </c>
      <c r="AB309">
        <f>AND(IF(metadata!H309="",FALSE,TRUE),exact(metadata!H309,"Mus musculus"))</f>
        <v>0</v>
      </c>
      <c r="AC309">
        <f>AND(IF(metadata!I309="",FALSE,TRUE),exact(metadata!I309,"10090"))</f>
        <v>0</v>
      </c>
      <c r="AD309">
        <f>OR(AND(IF(metadata!J309="",FALSE,TRUE),OR(exact(metadata!J309,"not applicable"),exact(metadata!J309,"missing: not collected"),exact(metadata!J309,"missing: not provided"),exact(metadata!J309,"missing: restricted access"))),AND(IF(metadata!J309="",FALSE,ISNUMBER(VALUE(metadata!J309))),metadata!J309&gt;0))</f>
        <v>0</v>
      </c>
      <c r="AE309">
        <f>AND(IF(metadata!K309="",FALSE,TRUE),exact(metadata!K309,"g"))</f>
        <v>0</v>
      </c>
    </row>
    <row r="310" spans="1:31">
      <c r="A310" s="5">
        <f>IF(B310=" "," ",HYPERLINK(CONCATENATE("#metadata!",ADDRESS(INDEX($Q$2:$Q$1001,MATCH(ROWS($O$2:O310),$O$2:$O$1001,0),0),1)),INDEX($T$2:$T$1001,MATCH(ROWS($O$2:O310),$O$2:$O$1001,0),0)))</f>
        <v>0</v>
      </c>
      <c r="B310" s="4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4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4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4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4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4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4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4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4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4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OR(AND(IF(metadata!C310="",FALSE,TRUE),OR(exact(metadata!C310,"not applicable"),exact(metadata!C310,"missing: not collected"),exact(metadata!C310,"missing: not provided"),exact(metadata!C310,"missing: restricted access"))),AND(IF(metadata!C310="",FALSE,ISNUMBER(VALUE(metadata!C310))),metadata!C310&gt;0))</f>
        <v>0</v>
      </c>
      <c r="X310">
        <f>AND(IF(metadata!D310="",FALSE,TRUE),exact(metadata!D310,"weeks"))</f>
        <v>0</v>
      </c>
      <c r="Y310">
        <f>AND(IF(metadata!E310="",FALSE,TRUE),exact(metadata!E310,"urban biome"))</f>
        <v>0</v>
      </c>
      <c r="Z310">
        <f>AND(IF(metadata!F310="",FALSE,TRUE),exact(metadata!F310,"animal-associated habitat"))</f>
        <v>0</v>
      </c>
      <c r="AA310">
        <f>AND(IF(metadata!G310="",FALSE,TRUE),exact(metadata!G310,"mouse"))</f>
        <v>0</v>
      </c>
      <c r="AB310">
        <f>AND(IF(metadata!H310="",FALSE,TRUE),exact(metadata!H310,"Mus musculus"))</f>
        <v>0</v>
      </c>
      <c r="AC310">
        <f>AND(IF(metadata!I310="",FALSE,TRUE),exact(metadata!I310,"10090"))</f>
        <v>0</v>
      </c>
      <c r="AD310">
        <f>OR(AND(IF(metadata!J310="",FALSE,TRUE),OR(exact(metadata!J310,"not applicable"),exact(metadata!J310,"missing: not collected"),exact(metadata!J310,"missing: not provided"),exact(metadata!J310,"missing: restricted access"))),AND(IF(metadata!J310="",FALSE,ISNUMBER(VALUE(metadata!J310))),metadata!J310&gt;0))</f>
        <v>0</v>
      </c>
      <c r="AE310">
        <f>AND(IF(metadata!K310="",FALSE,TRUE),exact(metadata!K310,"g"))</f>
        <v>0</v>
      </c>
    </row>
    <row r="311" spans="1:31">
      <c r="A311" s="5">
        <f>IF(B311=" "," ",HYPERLINK(CONCATENATE("#metadata!",ADDRESS(INDEX($Q$2:$Q$1001,MATCH(ROWS($O$2:O311),$O$2:$O$1001,0),0),1)),INDEX($T$2:$T$1001,MATCH(ROWS($O$2:O311),$O$2:$O$1001,0),0)))</f>
        <v>0</v>
      </c>
      <c r="B311" s="4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4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4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4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4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4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4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4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4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4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OR(AND(IF(metadata!C311="",FALSE,TRUE),OR(exact(metadata!C311,"not applicable"),exact(metadata!C311,"missing: not collected"),exact(metadata!C311,"missing: not provided"),exact(metadata!C311,"missing: restricted access"))),AND(IF(metadata!C311="",FALSE,ISNUMBER(VALUE(metadata!C311))),metadata!C311&gt;0))</f>
        <v>0</v>
      </c>
      <c r="X311">
        <f>AND(IF(metadata!D311="",FALSE,TRUE),exact(metadata!D311,"weeks"))</f>
        <v>0</v>
      </c>
      <c r="Y311">
        <f>AND(IF(metadata!E311="",FALSE,TRUE),exact(metadata!E311,"urban biome"))</f>
        <v>0</v>
      </c>
      <c r="Z311">
        <f>AND(IF(metadata!F311="",FALSE,TRUE),exact(metadata!F311,"animal-associated habitat"))</f>
        <v>0</v>
      </c>
      <c r="AA311">
        <f>AND(IF(metadata!G311="",FALSE,TRUE),exact(metadata!G311,"mouse"))</f>
        <v>0</v>
      </c>
      <c r="AB311">
        <f>AND(IF(metadata!H311="",FALSE,TRUE),exact(metadata!H311,"Mus musculus"))</f>
        <v>0</v>
      </c>
      <c r="AC311">
        <f>AND(IF(metadata!I311="",FALSE,TRUE),exact(metadata!I311,"10090"))</f>
        <v>0</v>
      </c>
      <c r="AD311">
        <f>OR(AND(IF(metadata!J311="",FALSE,TRUE),OR(exact(metadata!J311,"not applicable"),exact(metadata!J311,"missing: not collected"),exact(metadata!J311,"missing: not provided"),exact(metadata!J311,"missing: restricted access"))),AND(IF(metadata!J311="",FALSE,ISNUMBER(VALUE(metadata!J311))),metadata!J311&gt;0))</f>
        <v>0</v>
      </c>
      <c r="AE311">
        <f>AND(IF(metadata!K311="",FALSE,TRUE),exact(metadata!K311,"g"))</f>
        <v>0</v>
      </c>
    </row>
    <row r="312" spans="1:31">
      <c r="A312" s="5">
        <f>IF(B312=" "," ",HYPERLINK(CONCATENATE("#metadata!",ADDRESS(INDEX($Q$2:$Q$1001,MATCH(ROWS($O$2:O312),$O$2:$O$1001,0),0),1)),INDEX($T$2:$T$1001,MATCH(ROWS($O$2:O312),$O$2:$O$1001,0),0)))</f>
        <v>0</v>
      </c>
      <c r="B312" s="4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4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4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4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4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4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4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4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4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4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OR(AND(IF(metadata!C312="",FALSE,TRUE),OR(exact(metadata!C312,"not applicable"),exact(metadata!C312,"missing: not collected"),exact(metadata!C312,"missing: not provided"),exact(metadata!C312,"missing: restricted access"))),AND(IF(metadata!C312="",FALSE,ISNUMBER(VALUE(metadata!C312))),metadata!C312&gt;0))</f>
        <v>0</v>
      </c>
      <c r="X312">
        <f>AND(IF(metadata!D312="",FALSE,TRUE),exact(metadata!D312,"weeks"))</f>
        <v>0</v>
      </c>
      <c r="Y312">
        <f>AND(IF(metadata!E312="",FALSE,TRUE),exact(metadata!E312,"urban biome"))</f>
        <v>0</v>
      </c>
      <c r="Z312">
        <f>AND(IF(metadata!F312="",FALSE,TRUE),exact(metadata!F312,"animal-associated habitat"))</f>
        <v>0</v>
      </c>
      <c r="AA312">
        <f>AND(IF(metadata!G312="",FALSE,TRUE),exact(metadata!G312,"mouse"))</f>
        <v>0</v>
      </c>
      <c r="AB312">
        <f>AND(IF(metadata!H312="",FALSE,TRUE),exact(metadata!H312,"Mus musculus"))</f>
        <v>0</v>
      </c>
      <c r="AC312">
        <f>AND(IF(metadata!I312="",FALSE,TRUE),exact(metadata!I312,"10090"))</f>
        <v>0</v>
      </c>
      <c r="AD312">
        <f>OR(AND(IF(metadata!J312="",FALSE,TRUE),OR(exact(metadata!J312,"not applicable"),exact(metadata!J312,"missing: not collected"),exact(metadata!J312,"missing: not provided"),exact(metadata!J312,"missing: restricted access"))),AND(IF(metadata!J312="",FALSE,ISNUMBER(VALUE(metadata!J312))),metadata!J312&gt;0))</f>
        <v>0</v>
      </c>
      <c r="AE312">
        <f>AND(IF(metadata!K312="",FALSE,TRUE),exact(metadata!K312,"g"))</f>
        <v>0</v>
      </c>
    </row>
    <row r="313" spans="1:31">
      <c r="A313" s="5">
        <f>IF(B313=" "," ",HYPERLINK(CONCATENATE("#metadata!",ADDRESS(INDEX($Q$2:$Q$1001,MATCH(ROWS($O$2:O313),$O$2:$O$1001,0),0),1)),INDEX($T$2:$T$1001,MATCH(ROWS($O$2:O313),$O$2:$O$1001,0),0)))</f>
        <v>0</v>
      </c>
      <c r="B313" s="4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4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4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4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4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4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4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4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4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4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OR(AND(IF(metadata!C313="",FALSE,TRUE),OR(exact(metadata!C313,"not applicable"),exact(metadata!C313,"missing: not collected"),exact(metadata!C313,"missing: not provided"),exact(metadata!C313,"missing: restricted access"))),AND(IF(metadata!C313="",FALSE,ISNUMBER(VALUE(metadata!C313))),metadata!C313&gt;0))</f>
        <v>0</v>
      </c>
      <c r="X313">
        <f>AND(IF(metadata!D313="",FALSE,TRUE),exact(metadata!D313,"weeks"))</f>
        <v>0</v>
      </c>
      <c r="Y313">
        <f>AND(IF(metadata!E313="",FALSE,TRUE),exact(metadata!E313,"urban biome"))</f>
        <v>0</v>
      </c>
      <c r="Z313">
        <f>AND(IF(metadata!F313="",FALSE,TRUE),exact(metadata!F313,"animal-associated habitat"))</f>
        <v>0</v>
      </c>
      <c r="AA313">
        <f>AND(IF(metadata!G313="",FALSE,TRUE),exact(metadata!G313,"mouse"))</f>
        <v>0</v>
      </c>
      <c r="AB313">
        <f>AND(IF(metadata!H313="",FALSE,TRUE),exact(metadata!H313,"Mus musculus"))</f>
        <v>0</v>
      </c>
      <c r="AC313">
        <f>AND(IF(metadata!I313="",FALSE,TRUE),exact(metadata!I313,"10090"))</f>
        <v>0</v>
      </c>
      <c r="AD313">
        <f>OR(AND(IF(metadata!J313="",FALSE,TRUE),OR(exact(metadata!J313,"not applicable"),exact(metadata!J313,"missing: not collected"),exact(metadata!J313,"missing: not provided"),exact(metadata!J313,"missing: restricted access"))),AND(IF(metadata!J313="",FALSE,ISNUMBER(VALUE(metadata!J313))),metadata!J313&gt;0))</f>
        <v>0</v>
      </c>
      <c r="AE313">
        <f>AND(IF(metadata!K313="",FALSE,TRUE),exact(metadata!K313,"g"))</f>
        <v>0</v>
      </c>
    </row>
    <row r="314" spans="1:31">
      <c r="A314" s="5">
        <f>IF(B314=" "," ",HYPERLINK(CONCATENATE("#metadata!",ADDRESS(INDEX($Q$2:$Q$1001,MATCH(ROWS($O$2:O314),$O$2:$O$1001,0),0),1)),INDEX($T$2:$T$1001,MATCH(ROWS($O$2:O314),$O$2:$O$1001,0),0)))</f>
        <v>0</v>
      </c>
      <c r="B314" s="4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4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4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4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4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4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4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4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4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4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OR(AND(IF(metadata!C314="",FALSE,TRUE),OR(exact(metadata!C314,"not applicable"),exact(metadata!C314,"missing: not collected"),exact(metadata!C314,"missing: not provided"),exact(metadata!C314,"missing: restricted access"))),AND(IF(metadata!C314="",FALSE,ISNUMBER(VALUE(metadata!C314))),metadata!C314&gt;0))</f>
        <v>0</v>
      </c>
      <c r="X314">
        <f>AND(IF(metadata!D314="",FALSE,TRUE),exact(metadata!D314,"weeks"))</f>
        <v>0</v>
      </c>
      <c r="Y314">
        <f>AND(IF(metadata!E314="",FALSE,TRUE),exact(metadata!E314,"urban biome"))</f>
        <v>0</v>
      </c>
      <c r="Z314">
        <f>AND(IF(metadata!F314="",FALSE,TRUE),exact(metadata!F314,"animal-associated habitat"))</f>
        <v>0</v>
      </c>
      <c r="AA314">
        <f>AND(IF(metadata!G314="",FALSE,TRUE),exact(metadata!G314,"mouse"))</f>
        <v>0</v>
      </c>
      <c r="AB314">
        <f>AND(IF(metadata!H314="",FALSE,TRUE),exact(metadata!H314,"Mus musculus"))</f>
        <v>0</v>
      </c>
      <c r="AC314">
        <f>AND(IF(metadata!I314="",FALSE,TRUE),exact(metadata!I314,"10090"))</f>
        <v>0</v>
      </c>
      <c r="AD314">
        <f>OR(AND(IF(metadata!J314="",FALSE,TRUE),OR(exact(metadata!J314,"not applicable"),exact(metadata!J314,"missing: not collected"),exact(metadata!J314,"missing: not provided"),exact(metadata!J314,"missing: restricted access"))),AND(IF(metadata!J314="",FALSE,ISNUMBER(VALUE(metadata!J314))),metadata!J314&gt;0))</f>
        <v>0</v>
      </c>
      <c r="AE314">
        <f>AND(IF(metadata!K314="",FALSE,TRUE),exact(metadata!K314,"g"))</f>
        <v>0</v>
      </c>
    </row>
    <row r="315" spans="1:31">
      <c r="A315" s="5">
        <f>IF(B315=" "," ",HYPERLINK(CONCATENATE("#metadata!",ADDRESS(INDEX($Q$2:$Q$1001,MATCH(ROWS($O$2:O315),$O$2:$O$1001,0),0),1)),INDEX($T$2:$T$1001,MATCH(ROWS($O$2:O315),$O$2:$O$1001,0),0)))</f>
        <v>0</v>
      </c>
      <c r="B315" s="4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4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4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4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4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4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4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4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4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4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OR(AND(IF(metadata!C315="",FALSE,TRUE),OR(exact(metadata!C315,"not applicable"),exact(metadata!C315,"missing: not collected"),exact(metadata!C315,"missing: not provided"),exact(metadata!C315,"missing: restricted access"))),AND(IF(metadata!C315="",FALSE,ISNUMBER(VALUE(metadata!C315))),metadata!C315&gt;0))</f>
        <v>0</v>
      </c>
      <c r="X315">
        <f>AND(IF(metadata!D315="",FALSE,TRUE),exact(metadata!D315,"weeks"))</f>
        <v>0</v>
      </c>
      <c r="Y315">
        <f>AND(IF(metadata!E315="",FALSE,TRUE),exact(metadata!E315,"urban biome"))</f>
        <v>0</v>
      </c>
      <c r="Z315">
        <f>AND(IF(metadata!F315="",FALSE,TRUE),exact(metadata!F315,"animal-associated habitat"))</f>
        <v>0</v>
      </c>
      <c r="AA315">
        <f>AND(IF(metadata!G315="",FALSE,TRUE),exact(metadata!G315,"mouse"))</f>
        <v>0</v>
      </c>
      <c r="AB315">
        <f>AND(IF(metadata!H315="",FALSE,TRUE),exact(metadata!H315,"Mus musculus"))</f>
        <v>0</v>
      </c>
      <c r="AC315">
        <f>AND(IF(metadata!I315="",FALSE,TRUE),exact(metadata!I315,"10090"))</f>
        <v>0</v>
      </c>
      <c r="AD315">
        <f>OR(AND(IF(metadata!J315="",FALSE,TRUE),OR(exact(metadata!J315,"not applicable"),exact(metadata!J315,"missing: not collected"),exact(metadata!J315,"missing: not provided"),exact(metadata!J315,"missing: restricted access"))),AND(IF(metadata!J315="",FALSE,ISNUMBER(VALUE(metadata!J315))),metadata!J315&gt;0))</f>
        <v>0</v>
      </c>
      <c r="AE315">
        <f>AND(IF(metadata!K315="",FALSE,TRUE),exact(metadata!K315,"g"))</f>
        <v>0</v>
      </c>
    </row>
    <row r="316" spans="1:31">
      <c r="A316" s="5">
        <f>IF(B316=" "," ",HYPERLINK(CONCATENATE("#metadata!",ADDRESS(INDEX($Q$2:$Q$1001,MATCH(ROWS($O$2:O316),$O$2:$O$1001,0),0),1)),INDEX($T$2:$T$1001,MATCH(ROWS($O$2:O316),$O$2:$O$1001,0),0)))</f>
        <v>0</v>
      </c>
      <c r="B316" s="4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4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4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4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4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4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4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4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4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4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OR(AND(IF(metadata!C316="",FALSE,TRUE),OR(exact(metadata!C316,"not applicable"),exact(metadata!C316,"missing: not collected"),exact(metadata!C316,"missing: not provided"),exact(metadata!C316,"missing: restricted access"))),AND(IF(metadata!C316="",FALSE,ISNUMBER(VALUE(metadata!C316))),metadata!C316&gt;0))</f>
        <v>0</v>
      </c>
      <c r="X316">
        <f>AND(IF(metadata!D316="",FALSE,TRUE),exact(metadata!D316,"weeks"))</f>
        <v>0</v>
      </c>
      <c r="Y316">
        <f>AND(IF(metadata!E316="",FALSE,TRUE),exact(metadata!E316,"urban biome"))</f>
        <v>0</v>
      </c>
      <c r="Z316">
        <f>AND(IF(metadata!F316="",FALSE,TRUE),exact(metadata!F316,"animal-associated habitat"))</f>
        <v>0</v>
      </c>
      <c r="AA316">
        <f>AND(IF(metadata!G316="",FALSE,TRUE),exact(metadata!G316,"mouse"))</f>
        <v>0</v>
      </c>
      <c r="AB316">
        <f>AND(IF(metadata!H316="",FALSE,TRUE),exact(metadata!H316,"Mus musculus"))</f>
        <v>0</v>
      </c>
      <c r="AC316">
        <f>AND(IF(metadata!I316="",FALSE,TRUE),exact(metadata!I316,"10090"))</f>
        <v>0</v>
      </c>
      <c r="AD316">
        <f>OR(AND(IF(metadata!J316="",FALSE,TRUE),OR(exact(metadata!J316,"not applicable"),exact(metadata!J316,"missing: not collected"),exact(metadata!J316,"missing: not provided"),exact(metadata!J316,"missing: restricted access"))),AND(IF(metadata!J316="",FALSE,ISNUMBER(VALUE(metadata!J316))),metadata!J316&gt;0))</f>
        <v>0</v>
      </c>
      <c r="AE316">
        <f>AND(IF(metadata!K316="",FALSE,TRUE),exact(metadata!K316,"g"))</f>
        <v>0</v>
      </c>
    </row>
    <row r="317" spans="1:31">
      <c r="A317" s="5">
        <f>IF(B317=" "," ",HYPERLINK(CONCATENATE("#metadata!",ADDRESS(INDEX($Q$2:$Q$1001,MATCH(ROWS($O$2:O317),$O$2:$O$1001,0),0),1)),INDEX($T$2:$T$1001,MATCH(ROWS($O$2:O317),$O$2:$O$1001,0),0)))</f>
        <v>0</v>
      </c>
      <c r="B317" s="4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4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4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4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4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4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4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4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4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4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OR(AND(IF(metadata!C317="",FALSE,TRUE),OR(exact(metadata!C317,"not applicable"),exact(metadata!C317,"missing: not collected"),exact(metadata!C317,"missing: not provided"),exact(metadata!C317,"missing: restricted access"))),AND(IF(metadata!C317="",FALSE,ISNUMBER(VALUE(metadata!C317))),metadata!C317&gt;0))</f>
        <v>0</v>
      </c>
      <c r="X317">
        <f>AND(IF(metadata!D317="",FALSE,TRUE),exact(metadata!D317,"weeks"))</f>
        <v>0</v>
      </c>
      <c r="Y317">
        <f>AND(IF(metadata!E317="",FALSE,TRUE),exact(metadata!E317,"urban biome"))</f>
        <v>0</v>
      </c>
      <c r="Z317">
        <f>AND(IF(metadata!F317="",FALSE,TRUE),exact(metadata!F317,"animal-associated habitat"))</f>
        <v>0</v>
      </c>
      <c r="AA317">
        <f>AND(IF(metadata!G317="",FALSE,TRUE),exact(metadata!G317,"mouse"))</f>
        <v>0</v>
      </c>
      <c r="AB317">
        <f>AND(IF(metadata!H317="",FALSE,TRUE),exact(metadata!H317,"Mus musculus"))</f>
        <v>0</v>
      </c>
      <c r="AC317">
        <f>AND(IF(metadata!I317="",FALSE,TRUE),exact(metadata!I317,"10090"))</f>
        <v>0</v>
      </c>
      <c r="AD317">
        <f>OR(AND(IF(metadata!J317="",FALSE,TRUE),OR(exact(metadata!J317,"not applicable"),exact(metadata!J317,"missing: not collected"),exact(metadata!J317,"missing: not provided"),exact(metadata!J317,"missing: restricted access"))),AND(IF(metadata!J317="",FALSE,ISNUMBER(VALUE(metadata!J317))),metadata!J317&gt;0))</f>
        <v>0</v>
      </c>
      <c r="AE317">
        <f>AND(IF(metadata!K317="",FALSE,TRUE),exact(metadata!K317,"g"))</f>
        <v>0</v>
      </c>
    </row>
    <row r="318" spans="1:31">
      <c r="A318" s="5">
        <f>IF(B318=" "," ",HYPERLINK(CONCATENATE("#metadata!",ADDRESS(INDEX($Q$2:$Q$1001,MATCH(ROWS($O$2:O318),$O$2:$O$1001,0),0),1)),INDEX($T$2:$T$1001,MATCH(ROWS($O$2:O318),$O$2:$O$1001,0),0)))</f>
        <v>0</v>
      </c>
      <c r="B318" s="4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4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4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4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4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4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4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4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4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4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OR(AND(IF(metadata!C318="",FALSE,TRUE),OR(exact(metadata!C318,"not applicable"),exact(metadata!C318,"missing: not collected"),exact(metadata!C318,"missing: not provided"),exact(metadata!C318,"missing: restricted access"))),AND(IF(metadata!C318="",FALSE,ISNUMBER(VALUE(metadata!C318))),metadata!C318&gt;0))</f>
        <v>0</v>
      </c>
      <c r="X318">
        <f>AND(IF(metadata!D318="",FALSE,TRUE),exact(metadata!D318,"weeks"))</f>
        <v>0</v>
      </c>
      <c r="Y318">
        <f>AND(IF(metadata!E318="",FALSE,TRUE),exact(metadata!E318,"urban biome"))</f>
        <v>0</v>
      </c>
      <c r="Z318">
        <f>AND(IF(metadata!F318="",FALSE,TRUE),exact(metadata!F318,"animal-associated habitat"))</f>
        <v>0</v>
      </c>
      <c r="AA318">
        <f>AND(IF(metadata!G318="",FALSE,TRUE),exact(metadata!G318,"mouse"))</f>
        <v>0</v>
      </c>
      <c r="AB318">
        <f>AND(IF(metadata!H318="",FALSE,TRUE),exact(metadata!H318,"Mus musculus"))</f>
        <v>0</v>
      </c>
      <c r="AC318">
        <f>AND(IF(metadata!I318="",FALSE,TRUE),exact(metadata!I318,"10090"))</f>
        <v>0</v>
      </c>
      <c r="AD318">
        <f>OR(AND(IF(metadata!J318="",FALSE,TRUE),OR(exact(metadata!J318,"not applicable"),exact(metadata!J318,"missing: not collected"),exact(metadata!J318,"missing: not provided"),exact(metadata!J318,"missing: restricted access"))),AND(IF(metadata!J318="",FALSE,ISNUMBER(VALUE(metadata!J318))),metadata!J318&gt;0))</f>
        <v>0</v>
      </c>
      <c r="AE318">
        <f>AND(IF(metadata!K318="",FALSE,TRUE),exact(metadata!K318,"g"))</f>
        <v>0</v>
      </c>
    </row>
    <row r="319" spans="1:31">
      <c r="A319" s="5">
        <f>IF(B319=" "," ",HYPERLINK(CONCATENATE("#metadata!",ADDRESS(INDEX($Q$2:$Q$1001,MATCH(ROWS($O$2:O319),$O$2:$O$1001,0),0),1)),INDEX($T$2:$T$1001,MATCH(ROWS($O$2:O319),$O$2:$O$1001,0),0)))</f>
        <v>0</v>
      </c>
      <c r="B319" s="4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4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4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4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4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4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4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4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4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4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OR(AND(IF(metadata!C319="",FALSE,TRUE),OR(exact(metadata!C319,"not applicable"),exact(metadata!C319,"missing: not collected"),exact(metadata!C319,"missing: not provided"),exact(metadata!C319,"missing: restricted access"))),AND(IF(metadata!C319="",FALSE,ISNUMBER(VALUE(metadata!C319))),metadata!C319&gt;0))</f>
        <v>0</v>
      </c>
      <c r="X319">
        <f>AND(IF(metadata!D319="",FALSE,TRUE),exact(metadata!D319,"weeks"))</f>
        <v>0</v>
      </c>
      <c r="Y319">
        <f>AND(IF(metadata!E319="",FALSE,TRUE),exact(metadata!E319,"urban biome"))</f>
        <v>0</v>
      </c>
      <c r="Z319">
        <f>AND(IF(metadata!F319="",FALSE,TRUE),exact(metadata!F319,"animal-associated habitat"))</f>
        <v>0</v>
      </c>
      <c r="AA319">
        <f>AND(IF(metadata!G319="",FALSE,TRUE),exact(metadata!G319,"mouse"))</f>
        <v>0</v>
      </c>
      <c r="AB319">
        <f>AND(IF(metadata!H319="",FALSE,TRUE),exact(metadata!H319,"Mus musculus"))</f>
        <v>0</v>
      </c>
      <c r="AC319">
        <f>AND(IF(metadata!I319="",FALSE,TRUE),exact(metadata!I319,"10090"))</f>
        <v>0</v>
      </c>
      <c r="AD319">
        <f>OR(AND(IF(metadata!J319="",FALSE,TRUE),OR(exact(metadata!J319,"not applicable"),exact(metadata!J319,"missing: not collected"),exact(metadata!J319,"missing: not provided"),exact(metadata!J319,"missing: restricted access"))),AND(IF(metadata!J319="",FALSE,ISNUMBER(VALUE(metadata!J319))),metadata!J319&gt;0))</f>
        <v>0</v>
      </c>
      <c r="AE319">
        <f>AND(IF(metadata!K319="",FALSE,TRUE),exact(metadata!K319,"g"))</f>
        <v>0</v>
      </c>
    </row>
    <row r="320" spans="1:31">
      <c r="A320" s="5">
        <f>IF(B320=" "," ",HYPERLINK(CONCATENATE("#metadata!",ADDRESS(INDEX($Q$2:$Q$1001,MATCH(ROWS($O$2:O320),$O$2:$O$1001,0),0),1)),INDEX($T$2:$T$1001,MATCH(ROWS($O$2:O320),$O$2:$O$1001,0),0)))</f>
        <v>0</v>
      </c>
      <c r="B320" s="4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4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4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4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4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4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4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4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4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4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OR(AND(IF(metadata!C320="",FALSE,TRUE),OR(exact(metadata!C320,"not applicable"),exact(metadata!C320,"missing: not collected"),exact(metadata!C320,"missing: not provided"),exact(metadata!C320,"missing: restricted access"))),AND(IF(metadata!C320="",FALSE,ISNUMBER(VALUE(metadata!C320))),metadata!C320&gt;0))</f>
        <v>0</v>
      </c>
      <c r="X320">
        <f>AND(IF(metadata!D320="",FALSE,TRUE),exact(metadata!D320,"weeks"))</f>
        <v>0</v>
      </c>
      <c r="Y320">
        <f>AND(IF(metadata!E320="",FALSE,TRUE),exact(metadata!E320,"urban biome"))</f>
        <v>0</v>
      </c>
      <c r="Z320">
        <f>AND(IF(metadata!F320="",FALSE,TRUE),exact(metadata!F320,"animal-associated habitat"))</f>
        <v>0</v>
      </c>
      <c r="AA320">
        <f>AND(IF(metadata!G320="",FALSE,TRUE),exact(metadata!G320,"mouse"))</f>
        <v>0</v>
      </c>
      <c r="AB320">
        <f>AND(IF(metadata!H320="",FALSE,TRUE),exact(metadata!H320,"Mus musculus"))</f>
        <v>0</v>
      </c>
      <c r="AC320">
        <f>AND(IF(metadata!I320="",FALSE,TRUE),exact(metadata!I320,"10090"))</f>
        <v>0</v>
      </c>
      <c r="AD320">
        <f>OR(AND(IF(metadata!J320="",FALSE,TRUE),OR(exact(metadata!J320,"not applicable"),exact(metadata!J320,"missing: not collected"),exact(metadata!J320,"missing: not provided"),exact(metadata!J320,"missing: restricted access"))),AND(IF(metadata!J320="",FALSE,ISNUMBER(VALUE(metadata!J320))),metadata!J320&gt;0))</f>
        <v>0</v>
      </c>
      <c r="AE320">
        <f>AND(IF(metadata!K320="",FALSE,TRUE),exact(metadata!K320,"g"))</f>
        <v>0</v>
      </c>
    </row>
    <row r="321" spans="1:31">
      <c r="A321" s="5">
        <f>IF(B321=" "," ",HYPERLINK(CONCATENATE("#metadata!",ADDRESS(INDEX($Q$2:$Q$1001,MATCH(ROWS($O$2:O321),$O$2:$O$1001,0),0),1)),INDEX($T$2:$T$1001,MATCH(ROWS($O$2:O321),$O$2:$O$1001,0),0)))</f>
        <v>0</v>
      </c>
      <c r="B321" s="4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4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4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4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4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4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4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4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4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4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OR(AND(IF(metadata!C321="",FALSE,TRUE),OR(exact(metadata!C321,"not applicable"),exact(metadata!C321,"missing: not collected"),exact(metadata!C321,"missing: not provided"),exact(metadata!C321,"missing: restricted access"))),AND(IF(metadata!C321="",FALSE,ISNUMBER(VALUE(metadata!C321))),metadata!C321&gt;0))</f>
        <v>0</v>
      </c>
      <c r="X321">
        <f>AND(IF(metadata!D321="",FALSE,TRUE),exact(metadata!D321,"weeks"))</f>
        <v>0</v>
      </c>
      <c r="Y321">
        <f>AND(IF(metadata!E321="",FALSE,TRUE),exact(metadata!E321,"urban biome"))</f>
        <v>0</v>
      </c>
      <c r="Z321">
        <f>AND(IF(metadata!F321="",FALSE,TRUE),exact(metadata!F321,"animal-associated habitat"))</f>
        <v>0</v>
      </c>
      <c r="AA321">
        <f>AND(IF(metadata!G321="",FALSE,TRUE),exact(metadata!G321,"mouse"))</f>
        <v>0</v>
      </c>
      <c r="AB321">
        <f>AND(IF(metadata!H321="",FALSE,TRUE),exact(metadata!H321,"Mus musculus"))</f>
        <v>0</v>
      </c>
      <c r="AC321">
        <f>AND(IF(metadata!I321="",FALSE,TRUE),exact(metadata!I321,"10090"))</f>
        <v>0</v>
      </c>
      <c r="AD321">
        <f>OR(AND(IF(metadata!J321="",FALSE,TRUE),OR(exact(metadata!J321,"not applicable"),exact(metadata!J321,"missing: not collected"),exact(metadata!J321,"missing: not provided"),exact(metadata!J321,"missing: restricted access"))),AND(IF(metadata!J321="",FALSE,ISNUMBER(VALUE(metadata!J321))),metadata!J321&gt;0))</f>
        <v>0</v>
      </c>
      <c r="AE321">
        <f>AND(IF(metadata!K321="",FALSE,TRUE),exact(metadata!K321,"g"))</f>
        <v>0</v>
      </c>
    </row>
    <row r="322" spans="1:31">
      <c r="A322" s="5">
        <f>IF(B322=" "," ",HYPERLINK(CONCATENATE("#metadata!",ADDRESS(INDEX($Q$2:$Q$1001,MATCH(ROWS($O$2:O322),$O$2:$O$1001,0),0),1)),INDEX($T$2:$T$1001,MATCH(ROWS($O$2:O322),$O$2:$O$1001,0),0)))</f>
        <v>0</v>
      </c>
      <c r="B322" s="4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4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4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4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4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4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4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4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4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4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OR(AND(IF(metadata!C322="",FALSE,TRUE),OR(exact(metadata!C322,"not applicable"),exact(metadata!C322,"missing: not collected"),exact(metadata!C322,"missing: not provided"),exact(metadata!C322,"missing: restricted access"))),AND(IF(metadata!C322="",FALSE,ISNUMBER(VALUE(metadata!C322))),metadata!C322&gt;0))</f>
        <v>0</v>
      </c>
      <c r="X322">
        <f>AND(IF(metadata!D322="",FALSE,TRUE),exact(metadata!D322,"weeks"))</f>
        <v>0</v>
      </c>
      <c r="Y322">
        <f>AND(IF(metadata!E322="",FALSE,TRUE),exact(metadata!E322,"urban biome"))</f>
        <v>0</v>
      </c>
      <c r="Z322">
        <f>AND(IF(metadata!F322="",FALSE,TRUE),exact(metadata!F322,"animal-associated habitat"))</f>
        <v>0</v>
      </c>
      <c r="AA322">
        <f>AND(IF(metadata!G322="",FALSE,TRUE),exact(metadata!G322,"mouse"))</f>
        <v>0</v>
      </c>
      <c r="AB322">
        <f>AND(IF(metadata!H322="",FALSE,TRUE),exact(metadata!H322,"Mus musculus"))</f>
        <v>0</v>
      </c>
      <c r="AC322">
        <f>AND(IF(metadata!I322="",FALSE,TRUE),exact(metadata!I322,"10090"))</f>
        <v>0</v>
      </c>
      <c r="AD322">
        <f>OR(AND(IF(metadata!J322="",FALSE,TRUE),OR(exact(metadata!J322,"not applicable"),exact(metadata!J322,"missing: not collected"),exact(metadata!J322,"missing: not provided"),exact(metadata!J322,"missing: restricted access"))),AND(IF(metadata!J322="",FALSE,ISNUMBER(VALUE(metadata!J322))),metadata!J322&gt;0))</f>
        <v>0</v>
      </c>
      <c r="AE322">
        <f>AND(IF(metadata!K322="",FALSE,TRUE),exact(metadata!K322,"g"))</f>
        <v>0</v>
      </c>
    </row>
    <row r="323" spans="1:31">
      <c r="A323" s="5">
        <f>IF(B323=" "," ",HYPERLINK(CONCATENATE("#metadata!",ADDRESS(INDEX($Q$2:$Q$1001,MATCH(ROWS($O$2:O323),$O$2:$O$1001,0),0),1)),INDEX($T$2:$T$1001,MATCH(ROWS($O$2:O323),$O$2:$O$1001,0),0)))</f>
        <v>0</v>
      </c>
      <c r="B323" s="4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4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4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4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4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4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4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4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4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4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OR(AND(IF(metadata!C323="",FALSE,TRUE),OR(exact(metadata!C323,"not applicable"),exact(metadata!C323,"missing: not collected"),exact(metadata!C323,"missing: not provided"),exact(metadata!C323,"missing: restricted access"))),AND(IF(metadata!C323="",FALSE,ISNUMBER(VALUE(metadata!C323))),metadata!C323&gt;0))</f>
        <v>0</v>
      </c>
      <c r="X323">
        <f>AND(IF(metadata!D323="",FALSE,TRUE),exact(metadata!D323,"weeks"))</f>
        <v>0</v>
      </c>
      <c r="Y323">
        <f>AND(IF(metadata!E323="",FALSE,TRUE),exact(metadata!E323,"urban biome"))</f>
        <v>0</v>
      </c>
      <c r="Z323">
        <f>AND(IF(metadata!F323="",FALSE,TRUE),exact(metadata!F323,"animal-associated habitat"))</f>
        <v>0</v>
      </c>
      <c r="AA323">
        <f>AND(IF(metadata!G323="",FALSE,TRUE),exact(metadata!G323,"mouse"))</f>
        <v>0</v>
      </c>
      <c r="AB323">
        <f>AND(IF(metadata!H323="",FALSE,TRUE),exact(metadata!H323,"Mus musculus"))</f>
        <v>0</v>
      </c>
      <c r="AC323">
        <f>AND(IF(metadata!I323="",FALSE,TRUE),exact(metadata!I323,"10090"))</f>
        <v>0</v>
      </c>
      <c r="AD323">
        <f>OR(AND(IF(metadata!J323="",FALSE,TRUE),OR(exact(metadata!J323,"not applicable"),exact(metadata!J323,"missing: not collected"),exact(metadata!J323,"missing: not provided"),exact(metadata!J323,"missing: restricted access"))),AND(IF(metadata!J323="",FALSE,ISNUMBER(VALUE(metadata!J323))),metadata!J323&gt;0))</f>
        <v>0</v>
      </c>
      <c r="AE323">
        <f>AND(IF(metadata!K323="",FALSE,TRUE),exact(metadata!K323,"g"))</f>
        <v>0</v>
      </c>
    </row>
    <row r="324" spans="1:31">
      <c r="A324" s="5">
        <f>IF(B324=" "," ",HYPERLINK(CONCATENATE("#metadata!",ADDRESS(INDEX($Q$2:$Q$1001,MATCH(ROWS($O$2:O324),$O$2:$O$1001,0),0),1)),INDEX($T$2:$T$1001,MATCH(ROWS($O$2:O324),$O$2:$O$1001,0),0)))</f>
        <v>0</v>
      </c>
      <c r="B324" s="4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4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4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4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4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4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4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4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4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4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OR(AND(IF(metadata!C324="",FALSE,TRUE),OR(exact(metadata!C324,"not applicable"),exact(metadata!C324,"missing: not collected"),exact(metadata!C324,"missing: not provided"),exact(metadata!C324,"missing: restricted access"))),AND(IF(metadata!C324="",FALSE,ISNUMBER(VALUE(metadata!C324))),metadata!C324&gt;0))</f>
        <v>0</v>
      </c>
      <c r="X324">
        <f>AND(IF(metadata!D324="",FALSE,TRUE),exact(metadata!D324,"weeks"))</f>
        <v>0</v>
      </c>
      <c r="Y324">
        <f>AND(IF(metadata!E324="",FALSE,TRUE),exact(metadata!E324,"urban biome"))</f>
        <v>0</v>
      </c>
      <c r="Z324">
        <f>AND(IF(metadata!F324="",FALSE,TRUE),exact(metadata!F324,"animal-associated habitat"))</f>
        <v>0</v>
      </c>
      <c r="AA324">
        <f>AND(IF(metadata!G324="",FALSE,TRUE),exact(metadata!G324,"mouse"))</f>
        <v>0</v>
      </c>
      <c r="AB324">
        <f>AND(IF(metadata!H324="",FALSE,TRUE),exact(metadata!H324,"Mus musculus"))</f>
        <v>0</v>
      </c>
      <c r="AC324">
        <f>AND(IF(metadata!I324="",FALSE,TRUE),exact(metadata!I324,"10090"))</f>
        <v>0</v>
      </c>
      <c r="AD324">
        <f>OR(AND(IF(metadata!J324="",FALSE,TRUE),OR(exact(metadata!J324,"not applicable"),exact(metadata!J324,"missing: not collected"),exact(metadata!J324,"missing: not provided"),exact(metadata!J324,"missing: restricted access"))),AND(IF(metadata!J324="",FALSE,ISNUMBER(VALUE(metadata!J324))),metadata!J324&gt;0))</f>
        <v>0</v>
      </c>
      <c r="AE324">
        <f>AND(IF(metadata!K324="",FALSE,TRUE),exact(metadata!K324,"g"))</f>
        <v>0</v>
      </c>
    </row>
    <row r="325" spans="1:31">
      <c r="A325" s="5">
        <f>IF(B325=" "," ",HYPERLINK(CONCATENATE("#metadata!",ADDRESS(INDEX($Q$2:$Q$1001,MATCH(ROWS($O$2:O325),$O$2:$O$1001,0),0),1)),INDEX($T$2:$T$1001,MATCH(ROWS($O$2:O325),$O$2:$O$1001,0),0)))</f>
        <v>0</v>
      </c>
      <c r="B325" s="4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4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4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4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4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4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4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4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4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4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OR(AND(IF(metadata!C325="",FALSE,TRUE),OR(exact(metadata!C325,"not applicable"),exact(metadata!C325,"missing: not collected"),exact(metadata!C325,"missing: not provided"),exact(metadata!C325,"missing: restricted access"))),AND(IF(metadata!C325="",FALSE,ISNUMBER(VALUE(metadata!C325))),metadata!C325&gt;0))</f>
        <v>0</v>
      </c>
      <c r="X325">
        <f>AND(IF(metadata!D325="",FALSE,TRUE),exact(metadata!D325,"weeks"))</f>
        <v>0</v>
      </c>
      <c r="Y325">
        <f>AND(IF(metadata!E325="",FALSE,TRUE),exact(metadata!E325,"urban biome"))</f>
        <v>0</v>
      </c>
      <c r="Z325">
        <f>AND(IF(metadata!F325="",FALSE,TRUE),exact(metadata!F325,"animal-associated habitat"))</f>
        <v>0</v>
      </c>
      <c r="AA325">
        <f>AND(IF(metadata!G325="",FALSE,TRUE),exact(metadata!G325,"mouse"))</f>
        <v>0</v>
      </c>
      <c r="AB325">
        <f>AND(IF(metadata!H325="",FALSE,TRUE),exact(metadata!H325,"Mus musculus"))</f>
        <v>0</v>
      </c>
      <c r="AC325">
        <f>AND(IF(metadata!I325="",FALSE,TRUE),exact(metadata!I325,"10090"))</f>
        <v>0</v>
      </c>
      <c r="AD325">
        <f>OR(AND(IF(metadata!J325="",FALSE,TRUE),OR(exact(metadata!J325,"not applicable"),exact(metadata!J325,"missing: not collected"),exact(metadata!J325,"missing: not provided"),exact(metadata!J325,"missing: restricted access"))),AND(IF(metadata!J325="",FALSE,ISNUMBER(VALUE(metadata!J325))),metadata!J325&gt;0))</f>
        <v>0</v>
      </c>
      <c r="AE325">
        <f>AND(IF(metadata!K325="",FALSE,TRUE),exact(metadata!K325,"g"))</f>
        <v>0</v>
      </c>
    </row>
    <row r="326" spans="1:31">
      <c r="A326" s="5">
        <f>IF(B326=" "," ",HYPERLINK(CONCATENATE("#metadata!",ADDRESS(INDEX($Q$2:$Q$1001,MATCH(ROWS($O$2:O326),$O$2:$O$1001,0),0),1)),INDEX($T$2:$T$1001,MATCH(ROWS($O$2:O326),$O$2:$O$1001,0),0)))</f>
        <v>0</v>
      </c>
      <c r="B326" s="4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4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4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4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4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4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4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4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4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4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OR(AND(IF(metadata!C326="",FALSE,TRUE),OR(exact(metadata!C326,"not applicable"),exact(metadata!C326,"missing: not collected"),exact(metadata!C326,"missing: not provided"),exact(metadata!C326,"missing: restricted access"))),AND(IF(metadata!C326="",FALSE,ISNUMBER(VALUE(metadata!C326))),metadata!C326&gt;0))</f>
        <v>0</v>
      </c>
      <c r="X326">
        <f>AND(IF(metadata!D326="",FALSE,TRUE),exact(metadata!D326,"weeks"))</f>
        <v>0</v>
      </c>
      <c r="Y326">
        <f>AND(IF(metadata!E326="",FALSE,TRUE),exact(metadata!E326,"urban biome"))</f>
        <v>0</v>
      </c>
      <c r="Z326">
        <f>AND(IF(metadata!F326="",FALSE,TRUE),exact(metadata!F326,"animal-associated habitat"))</f>
        <v>0</v>
      </c>
      <c r="AA326">
        <f>AND(IF(metadata!G326="",FALSE,TRUE),exact(metadata!G326,"mouse"))</f>
        <v>0</v>
      </c>
      <c r="AB326">
        <f>AND(IF(metadata!H326="",FALSE,TRUE),exact(metadata!H326,"Mus musculus"))</f>
        <v>0</v>
      </c>
      <c r="AC326">
        <f>AND(IF(metadata!I326="",FALSE,TRUE),exact(metadata!I326,"10090"))</f>
        <v>0</v>
      </c>
      <c r="AD326">
        <f>OR(AND(IF(metadata!J326="",FALSE,TRUE),OR(exact(metadata!J326,"not applicable"),exact(metadata!J326,"missing: not collected"),exact(metadata!J326,"missing: not provided"),exact(metadata!J326,"missing: restricted access"))),AND(IF(metadata!J326="",FALSE,ISNUMBER(VALUE(metadata!J326))),metadata!J326&gt;0))</f>
        <v>0</v>
      </c>
      <c r="AE326">
        <f>AND(IF(metadata!K326="",FALSE,TRUE),exact(metadata!K326,"g"))</f>
        <v>0</v>
      </c>
    </row>
    <row r="327" spans="1:31">
      <c r="A327" s="5">
        <f>IF(B327=" "," ",HYPERLINK(CONCATENATE("#metadata!",ADDRESS(INDEX($Q$2:$Q$1001,MATCH(ROWS($O$2:O327),$O$2:$O$1001,0),0),1)),INDEX($T$2:$T$1001,MATCH(ROWS($O$2:O327),$O$2:$O$1001,0),0)))</f>
        <v>0</v>
      </c>
      <c r="B327" s="4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4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4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4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4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4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4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4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4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4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OR(AND(IF(metadata!C327="",FALSE,TRUE),OR(exact(metadata!C327,"not applicable"),exact(metadata!C327,"missing: not collected"),exact(metadata!C327,"missing: not provided"),exact(metadata!C327,"missing: restricted access"))),AND(IF(metadata!C327="",FALSE,ISNUMBER(VALUE(metadata!C327))),metadata!C327&gt;0))</f>
        <v>0</v>
      </c>
      <c r="X327">
        <f>AND(IF(metadata!D327="",FALSE,TRUE),exact(metadata!D327,"weeks"))</f>
        <v>0</v>
      </c>
      <c r="Y327">
        <f>AND(IF(metadata!E327="",FALSE,TRUE),exact(metadata!E327,"urban biome"))</f>
        <v>0</v>
      </c>
      <c r="Z327">
        <f>AND(IF(metadata!F327="",FALSE,TRUE),exact(metadata!F327,"animal-associated habitat"))</f>
        <v>0</v>
      </c>
      <c r="AA327">
        <f>AND(IF(metadata!G327="",FALSE,TRUE),exact(metadata!G327,"mouse"))</f>
        <v>0</v>
      </c>
      <c r="AB327">
        <f>AND(IF(metadata!H327="",FALSE,TRUE),exact(metadata!H327,"Mus musculus"))</f>
        <v>0</v>
      </c>
      <c r="AC327">
        <f>AND(IF(metadata!I327="",FALSE,TRUE),exact(metadata!I327,"10090"))</f>
        <v>0</v>
      </c>
      <c r="AD327">
        <f>OR(AND(IF(metadata!J327="",FALSE,TRUE),OR(exact(metadata!J327,"not applicable"),exact(metadata!J327,"missing: not collected"),exact(metadata!J327,"missing: not provided"),exact(metadata!J327,"missing: restricted access"))),AND(IF(metadata!J327="",FALSE,ISNUMBER(VALUE(metadata!J327))),metadata!J327&gt;0))</f>
        <v>0</v>
      </c>
      <c r="AE327">
        <f>AND(IF(metadata!K327="",FALSE,TRUE),exact(metadata!K327,"g"))</f>
        <v>0</v>
      </c>
    </row>
    <row r="328" spans="1:31">
      <c r="A328" s="5">
        <f>IF(B328=" "," ",HYPERLINK(CONCATENATE("#metadata!",ADDRESS(INDEX($Q$2:$Q$1001,MATCH(ROWS($O$2:O328),$O$2:$O$1001,0),0),1)),INDEX($T$2:$T$1001,MATCH(ROWS($O$2:O328),$O$2:$O$1001,0),0)))</f>
        <v>0</v>
      </c>
      <c r="B328" s="4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4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4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4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4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4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4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4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4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4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OR(AND(IF(metadata!C328="",FALSE,TRUE),OR(exact(metadata!C328,"not applicable"),exact(metadata!C328,"missing: not collected"),exact(metadata!C328,"missing: not provided"),exact(metadata!C328,"missing: restricted access"))),AND(IF(metadata!C328="",FALSE,ISNUMBER(VALUE(metadata!C328))),metadata!C328&gt;0))</f>
        <v>0</v>
      </c>
      <c r="X328">
        <f>AND(IF(metadata!D328="",FALSE,TRUE),exact(metadata!D328,"weeks"))</f>
        <v>0</v>
      </c>
      <c r="Y328">
        <f>AND(IF(metadata!E328="",FALSE,TRUE),exact(metadata!E328,"urban biome"))</f>
        <v>0</v>
      </c>
      <c r="Z328">
        <f>AND(IF(metadata!F328="",FALSE,TRUE),exact(metadata!F328,"animal-associated habitat"))</f>
        <v>0</v>
      </c>
      <c r="AA328">
        <f>AND(IF(metadata!G328="",FALSE,TRUE),exact(metadata!G328,"mouse"))</f>
        <v>0</v>
      </c>
      <c r="AB328">
        <f>AND(IF(metadata!H328="",FALSE,TRUE),exact(metadata!H328,"Mus musculus"))</f>
        <v>0</v>
      </c>
      <c r="AC328">
        <f>AND(IF(metadata!I328="",FALSE,TRUE),exact(metadata!I328,"10090"))</f>
        <v>0</v>
      </c>
      <c r="AD328">
        <f>OR(AND(IF(metadata!J328="",FALSE,TRUE),OR(exact(metadata!J328,"not applicable"),exact(metadata!J328,"missing: not collected"),exact(metadata!J328,"missing: not provided"),exact(metadata!J328,"missing: restricted access"))),AND(IF(metadata!J328="",FALSE,ISNUMBER(VALUE(metadata!J328))),metadata!J328&gt;0))</f>
        <v>0</v>
      </c>
      <c r="AE328">
        <f>AND(IF(metadata!K328="",FALSE,TRUE),exact(metadata!K328,"g"))</f>
        <v>0</v>
      </c>
    </row>
    <row r="329" spans="1:31">
      <c r="A329" s="5">
        <f>IF(B329=" "," ",HYPERLINK(CONCATENATE("#metadata!",ADDRESS(INDEX($Q$2:$Q$1001,MATCH(ROWS($O$2:O329),$O$2:$O$1001,0),0),1)),INDEX($T$2:$T$1001,MATCH(ROWS($O$2:O329),$O$2:$O$1001,0),0)))</f>
        <v>0</v>
      </c>
      <c r="B329" s="4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4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4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4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4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4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4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4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4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4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OR(AND(IF(metadata!C329="",FALSE,TRUE),OR(exact(metadata!C329,"not applicable"),exact(metadata!C329,"missing: not collected"),exact(metadata!C329,"missing: not provided"),exact(metadata!C329,"missing: restricted access"))),AND(IF(metadata!C329="",FALSE,ISNUMBER(VALUE(metadata!C329))),metadata!C329&gt;0))</f>
        <v>0</v>
      </c>
      <c r="X329">
        <f>AND(IF(metadata!D329="",FALSE,TRUE),exact(metadata!D329,"weeks"))</f>
        <v>0</v>
      </c>
      <c r="Y329">
        <f>AND(IF(metadata!E329="",FALSE,TRUE),exact(metadata!E329,"urban biome"))</f>
        <v>0</v>
      </c>
      <c r="Z329">
        <f>AND(IF(metadata!F329="",FALSE,TRUE),exact(metadata!F329,"animal-associated habitat"))</f>
        <v>0</v>
      </c>
      <c r="AA329">
        <f>AND(IF(metadata!G329="",FALSE,TRUE),exact(metadata!G329,"mouse"))</f>
        <v>0</v>
      </c>
      <c r="AB329">
        <f>AND(IF(metadata!H329="",FALSE,TRUE),exact(metadata!H329,"Mus musculus"))</f>
        <v>0</v>
      </c>
      <c r="AC329">
        <f>AND(IF(metadata!I329="",FALSE,TRUE),exact(metadata!I329,"10090"))</f>
        <v>0</v>
      </c>
      <c r="AD329">
        <f>OR(AND(IF(metadata!J329="",FALSE,TRUE),OR(exact(metadata!J329,"not applicable"),exact(metadata!J329,"missing: not collected"),exact(metadata!J329,"missing: not provided"),exact(metadata!J329,"missing: restricted access"))),AND(IF(metadata!J329="",FALSE,ISNUMBER(VALUE(metadata!J329))),metadata!J329&gt;0))</f>
        <v>0</v>
      </c>
      <c r="AE329">
        <f>AND(IF(metadata!K329="",FALSE,TRUE),exact(metadata!K329,"g"))</f>
        <v>0</v>
      </c>
    </row>
    <row r="330" spans="1:31">
      <c r="A330" s="5">
        <f>IF(B330=" "," ",HYPERLINK(CONCATENATE("#metadata!",ADDRESS(INDEX($Q$2:$Q$1001,MATCH(ROWS($O$2:O330),$O$2:$O$1001,0),0),1)),INDEX($T$2:$T$1001,MATCH(ROWS($O$2:O330),$O$2:$O$1001,0),0)))</f>
        <v>0</v>
      </c>
      <c r="B330" s="4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4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4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4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4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4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4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4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4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4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OR(AND(IF(metadata!C330="",FALSE,TRUE),OR(exact(metadata!C330,"not applicable"),exact(metadata!C330,"missing: not collected"),exact(metadata!C330,"missing: not provided"),exact(metadata!C330,"missing: restricted access"))),AND(IF(metadata!C330="",FALSE,ISNUMBER(VALUE(metadata!C330))),metadata!C330&gt;0))</f>
        <v>0</v>
      </c>
      <c r="X330">
        <f>AND(IF(metadata!D330="",FALSE,TRUE),exact(metadata!D330,"weeks"))</f>
        <v>0</v>
      </c>
      <c r="Y330">
        <f>AND(IF(metadata!E330="",FALSE,TRUE),exact(metadata!E330,"urban biome"))</f>
        <v>0</v>
      </c>
      <c r="Z330">
        <f>AND(IF(metadata!F330="",FALSE,TRUE),exact(metadata!F330,"animal-associated habitat"))</f>
        <v>0</v>
      </c>
      <c r="AA330">
        <f>AND(IF(metadata!G330="",FALSE,TRUE),exact(metadata!G330,"mouse"))</f>
        <v>0</v>
      </c>
      <c r="AB330">
        <f>AND(IF(metadata!H330="",FALSE,TRUE),exact(metadata!H330,"Mus musculus"))</f>
        <v>0</v>
      </c>
      <c r="AC330">
        <f>AND(IF(metadata!I330="",FALSE,TRUE),exact(metadata!I330,"10090"))</f>
        <v>0</v>
      </c>
      <c r="AD330">
        <f>OR(AND(IF(metadata!J330="",FALSE,TRUE),OR(exact(metadata!J330,"not applicable"),exact(metadata!J330,"missing: not collected"),exact(metadata!J330,"missing: not provided"),exact(metadata!J330,"missing: restricted access"))),AND(IF(metadata!J330="",FALSE,ISNUMBER(VALUE(metadata!J330))),metadata!J330&gt;0))</f>
        <v>0</v>
      </c>
      <c r="AE330">
        <f>AND(IF(metadata!K330="",FALSE,TRUE),exact(metadata!K330,"g"))</f>
        <v>0</v>
      </c>
    </row>
    <row r="331" spans="1:31">
      <c r="A331" s="5">
        <f>IF(B331=" "," ",HYPERLINK(CONCATENATE("#metadata!",ADDRESS(INDEX($Q$2:$Q$1001,MATCH(ROWS($O$2:O331),$O$2:$O$1001,0),0),1)),INDEX($T$2:$T$1001,MATCH(ROWS($O$2:O331),$O$2:$O$1001,0),0)))</f>
        <v>0</v>
      </c>
      <c r="B331" s="4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4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4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4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4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4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4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4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4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4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OR(AND(IF(metadata!C331="",FALSE,TRUE),OR(exact(metadata!C331,"not applicable"),exact(metadata!C331,"missing: not collected"),exact(metadata!C331,"missing: not provided"),exact(metadata!C331,"missing: restricted access"))),AND(IF(metadata!C331="",FALSE,ISNUMBER(VALUE(metadata!C331))),metadata!C331&gt;0))</f>
        <v>0</v>
      </c>
      <c r="X331">
        <f>AND(IF(metadata!D331="",FALSE,TRUE),exact(metadata!D331,"weeks"))</f>
        <v>0</v>
      </c>
      <c r="Y331">
        <f>AND(IF(metadata!E331="",FALSE,TRUE),exact(metadata!E331,"urban biome"))</f>
        <v>0</v>
      </c>
      <c r="Z331">
        <f>AND(IF(metadata!F331="",FALSE,TRUE),exact(metadata!F331,"animal-associated habitat"))</f>
        <v>0</v>
      </c>
      <c r="AA331">
        <f>AND(IF(metadata!G331="",FALSE,TRUE),exact(metadata!G331,"mouse"))</f>
        <v>0</v>
      </c>
      <c r="AB331">
        <f>AND(IF(metadata!H331="",FALSE,TRUE),exact(metadata!H331,"Mus musculus"))</f>
        <v>0</v>
      </c>
      <c r="AC331">
        <f>AND(IF(metadata!I331="",FALSE,TRUE),exact(metadata!I331,"10090"))</f>
        <v>0</v>
      </c>
      <c r="AD331">
        <f>OR(AND(IF(metadata!J331="",FALSE,TRUE),OR(exact(metadata!J331,"not applicable"),exact(metadata!J331,"missing: not collected"),exact(metadata!J331,"missing: not provided"),exact(metadata!J331,"missing: restricted access"))),AND(IF(metadata!J331="",FALSE,ISNUMBER(VALUE(metadata!J331))),metadata!J331&gt;0))</f>
        <v>0</v>
      </c>
      <c r="AE331">
        <f>AND(IF(metadata!K331="",FALSE,TRUE),exact(metadata!K331,"g"))</f>
        <v>0</v>
      </c>
    </row>
    <row r="332" spans="1:31">
      <c r="A332" s="5">
        <f>IF(B332=" "," ",HYPERLINK(CONCATENATE("#metadata!",ADDRESS(INDEX($Q$2:$Q$1001,MATCH(ROWS($O$2:O332),$O$2:$O$1001,0),0),1)),INDEX($T$2:$T$1001,MATCH(ROWS($O$2:O332),$O$2:$O$1001,0),0)))</f>
        <v>0</v>
      </c>
      <c r="B332" s="4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4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4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4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4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4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4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4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4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4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OR(AND(IF(metadata!C332="",FALSE,TRUE),OR(exact(metadata!C332,"not applicable"),exact(metadata!C332,"missing: not collected"),exact(metadata!C332,"missing: not provided"),exact(metadata!C332,"missing: restricted access"))),AND(IF(metadata!C332="",FALSE,ISNUMBER(VALUE(metadata!C332))),metadata!C332&gt;0))</f>
        <v>0</v>
      </c>
      <c r="X332">
        <f>AND(IF(metadata!D332="",FALSE,TRUE),exact(metadata!D332,"weeks"))</f>
        <v>0</v>
      </c>
      <c r="Y332">
        <f>AND(IF(metadata!E332="",FALSE,TRUE),exact(metadata!E332,"urban biome"))</f>
        <v>0</v>
      </c>
      <c r="Z332">
        <f>AND(IF(metadata!F332="",FALSE,TRUE),exact(metadata!F332,"animal-associated habitat"))</f>
        <v>0</v>
      </c>
      <c r="AA332">
        <f>AND(IF(metadata!G332="",FALSE,TRUE),exact(metadata!G332,"mouse"))</f>
        <v>0</v>
      </c>
      <c r="AB332">
        <f>AND(IF(metadata!H332="",FALSE,TRUE),exact(metadata!H332,"Mus musculus"))</f>
        <v>0</v>
      </c>
      <c r="AC332">
        <f>AND(IF(metadata!I332="",FALSE,TRUE),exact(metadata!I332,"10090"))</f>
        <v>0</v>
      </c>
      <c r="AD332">
        <f>OR(AND(IF(metadata!J332="",FALSE,TRUE),OR(exact(metadata!J332,"not applicable"),exact(metadata!J332,"missing: not collected"),exact(metadata!J332,"missing: not provided"),exact(metadata!J332,"missing: restricted access"))),AND(IF(metadata!J332="",FALSE,ISNUMBER(VALUE(metadata!J332))),metadata!J332&gt;0))</f>
        <v>0</v>
      </c>
      <c r="AE332">
        <f>AND(IF(metadata!K332="",FALSE,TRUE),exact(metadata!K332,"g"))</f>
        <v>0</v>
      </c>
    </row>
    <row r="333" spans="1:31">
      <c r="A333" s="5">
        <f>IF(B333=" "," ",HYPERLINK(CONCATENATE("#metadata!",ADDRESS(INDEX($Q$2:$Q$1001,MATCH(ROWS($O$2:O333),$O$2:$O$1001,0),0),1)),INDEX($T$2:$T$1001,MATCH(ROWS($O$2:O333),$O$2:$O$1001,0),0)))</f>
        <v>0</v>
      </c>
      <c r="B333" s="4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4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4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4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4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4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4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4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4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4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OR(AND(IF(metadata!C333="",FALSE,TRUE),OR(exact(metadata!C333,"not applicable"),exact(metadata!C333,"missing: not collected"),exact(metadata!C333,"missing: not provided"),exact(metadata!C333,"missing: restricted access"))),AND(IF(metadata!C333="",FALSE,ISNUMBER(VALUE(metadata!C333))),metadata!C333&gt;0))</f>
        <v>0</v>
      </c>
      <c r="X333">
        <f>AND(IF(metadata!D333="",FALSE,TRUE),exact(metadata!D333,"weeks"))</f>
        <v>0</v>
      </c>
      <c r="Y333">
        <f>AND(IF(metadata!E333="",FALSE,TRUE),exact(metadata!E333,"urban biome"))</f>
        <v>0</v>
      </c>
      <c r="Z333">
        <f>AND(IF(metadata!F333="",FALSE,TRUE),exact(metadata!F333,"animal-associated habitat"))</f>
        <v>0</v>
      </c>
      <c r="AA333">
        <f>AND(IF(metadata!G333="",FALSE,TRUE),exact(metadata!G333,"mouse"))</f>
        <v>0</v>
      </c>
      <c r="AB333">
        <f>AND(IF(metadata!H333="",FALSE,TRUE),exact(metadata!H333,"Mus musculus"))</f>
        <v>0</v>
      </c>
      <c r="AC333">
        <f>AND(IF(metadata!I333="",FALSE,TRUE),exact(metadata!I333,"10090"))</f>
        <v>0</v>
      </c>
      <c r="AD333">
        <f>OR(AND(IF(metadata!J333="",FALSE,TRUE),OR(exact(metadata!J333,"not applicable"),exact(metadata!J333,"missing: not collected"),exact(metadata!J333,"missing: not provided"),exact(metadata!J333,"missing: restricted access"))),AND(IF(metadata!J333="",FALSE,ISNUMBER(VALUE(metadata!J333))),metadata!J333&gt;0))</f>
        <v>0</v>
      </c>
      <c r="AE333">
        <f>AND(IF(metadata!K333="",FALSE,TRUE),exact(metadata!K333,"g"))</f>
        <v>0</v>
      </c>
    </row>
    <row r="334" spans="1:31">
      <c r="A334" s="5">
        <f>IF(B334=" "," ",HYPERLINK(CONCATENATE("#metadata!",ADDRESS(INDEX($Q$2:$Q$1001,MATCH(ROWS($O$2:O334),$O$2:$O$1001,0),0),1)),INDEX($T$2:$T$1001,MATCH(ROWS($O$2:O334),$O$2:$O$1001,0),0)))</f>
        <v>0</v>
      </c>
      <c r="B334" s="4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4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4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4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4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4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4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4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4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4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OR(AND(IF(metadata!C334="",FALSE,TRUE),OR(exact(metadata!C334,"not applicable"),exact(metadata!C334,"missing: not collected"),exact(metadata!C334,"missing: not provided"),exact(metadata!C334,"missing: restricted access"))),AND(IF(metadata!C334="",FALSE,ISNUMBER(VALUE(metadata!C334))),metadata!C334&gt;0))</f>
        <v>0</v>
      </c>
      <c r="X334">
        <f>AND(IF(metadata!D334="",FALSE,TRUE),exact(metadata!D334,"weeks"))</f>
        <v>0</v>
      </c>
      <c r="Y334">
        <f>AND(IF(metadata!E334="",FALSE,TRUE),exact(metadata!E334,"urban biome"))</f>
        <v>0</v>
      </c>
      <c r="Z334">
        <f>AND(IF(metadata!F334="",FALSE,TRUE),exact(metadata!F334,"animal-associated habitat"))</f>
        <v>0</v>
      </c>
      <c r="AA334">
        <f>AND(IF(metadata!G334="",FALSE,TRUE),exact(metadata!G334,"mouse"))</f>
        <v>0</v>
      </c>
      <c r="AB334">
        <f>AND(IF(metadata!H334="",FALSE,TRUE),exact(metadata!H334,"Mus musculus"))</f>
        <v>0</v>
      </c>
      <c r="AC334">
        <f>AND(IF(metadata!I334="",FALSE,TRUE),exact(metadata!I334,"10090"))</f>
        <v>0</v>
      </c>
      <c r="AD334">
        <f>OR(AND(IF(metadata!J334="",FALSE,TRUE),OR(exact(metadata!J334,"not applicable"),exact(metadata!J334,"missing: not collected"),exact(metadata!J334,"missing: not provided"),exact(metadata!J334,"missing: restricted access"))),AND(IF(metadata!J334="",FALSE,ISNUMBER(VALUE(metadata!J334))),metadata!J334&gt;0))</f>
        <v>0</v>
      </c>
      <c r="AE334">
        <f>AND(IF(metadata!K334="",FALSE,TRUE),exact(metadata!K334,"g"))</f>
        <v>0</v>
      </c>
    </row>
    <row r="335" spans="1:31">
      <c r="A335" s="5">
        <f>IF(B335=" "," ",HYPERLINK(CONCATENATE("#metadata!",ADDRESS(INDEX($Q$2:$Q$1001,MATCH(ROWS($O$2:O335),$O$2:$O$1001,0),0),1)),INDEX($T$2:$T$1001,MATCH(ROWS($O$2:O335),$O$2:$O$1001,0),0)))</f>
        <v>0</v>
      </c>
      <c r="B335" s="4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4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4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4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4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4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4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4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4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4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OR(AND(IF(metadata!C335="",FALSE,TRUE),OR(exact(metadata!C335,"not applicable"),exact(metadata!C335,"missing: not collected"),exact(metadata!C335,"missing: not provided"),exact(metadata!C335,"missing: restricted access"))),AND(IF(metadata!C335="",FALSE,ISNUMBER(VALUE(metadata!C335))),metadata!C335&gt;0))</f>
        <v>0</v>
      </c>
      <c r="X335">
        <f>AND(IF(metadata!D335="",FALSE,TRUE),exact(metadata!D335,"weeks"))</f>
        <v>0</v>
      </c>
      <c r="Y335">
        <f>AND(IF(metadata!E335="",FALSE,TRUE),exact(metadata!E335,"urban biome"))</f>
        <v>0</v>
      </c>
      <c r="Z335">
        <f>AND(IF(metadata!F335="",FALSE,TRUE),exact(metadata!F335,"animal-associated habitat"))</f>
        <v>0</v>
      </c>
      <c r="AA335">
        <f>AND(IF(metadata!G335="",FALSE,TRUE),exact(metadata!G335,"mouse"))</f>
        <v>0</v>
      </c>
      <c r="AB335">
        <f>AND(IF(metadata!H335="",FALSE,TRUE),exact(metadata!H335,"Mus musculus"))</f>
        <v>0</v>
      </c>
      <c r="AC335">
        <f>AND(IF(metadata!I335="",FALSE,TRUE),exact(metadata!I335,"10090"))</f>
        <v>0</v>
      </c>
      <c r="AD335">
        <f>OR(AND(IF(metadata!J335="",FALSE,TRUE),OR(exact(metadata!J335,"not applicable"),exact(metadata!J335,"missing: not collected"),exact(metadata!J335,"missing: not provided"),exact(metadata!J335,"missing: restricted access"))),AND(IF(metadata!J335="",FALSE,ISNUMBER(VALUE(metadata!J335))),metadata!J335&gt;0))</f>
        <v>0</v>
      </c>
      <c r="AE335">
        <f>AND(IF(metadata!K335="",FALSE,TRUE),exact(metadata!K335,"g"))</f>
        <v>0</v>
      </c>
    </row>
    <row r="336" spans="1:31">
      <c r="A336" s="5">
        <f>IF(B336=" "," ",HYPERLINK(CONCATENATE("#metadata!",ADDRESS(INDEX($Q$2:$Q$1001,MATCH(ROWS($O$2:O336),$O$2:$O$1001,0),0),1)),INDEX($T$2:$T$1001,MATCH(ROWS($O$2:O336),$O$2:$O$1001,0),0)))</f>
        <v>0</v>
      </c>
      <c r="B336" s="4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4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4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4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4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4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4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4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4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4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OR(AND(IF(metadata!C336="",FALSE,TRUE),OR(exact(metadata!C336,"not applicable"),exact(metadata!C336,"missing: not collected"),exact(metadata!C336,"missing: not provided"),exact(metadata!C336,"missing: restricted access"))),AND(IF(metadata!C336="",FALSE,ISNUMBER(VALUE(metadata!C336))),metadata!C336&gt;0))</f>
        <v>0</v>
      </c>
      <c r="X336">
        <f>AND(IF(metadata!D336="",FALSE,TRUE),exact(metadata!D336,"weeks"))</f>
        <v>0</v>
      </c>
      <c r="Y336">
        <f>AND(IF(metadata!E336="",FALSE,TRUE),exact(metadata!E336,"urban biome"))</f>
        <v>0</v>
      </c>
      <c r="Z336">
        <f>AND(IF(metadata!F336="",FALSE,TRUE),exact(metadata!F336,"animal-associated habitat"))</f>
        <v>0</v>
      </c>
      <c r="AA336">
        <f>AND(IF(metadata!G336="",FALSE,TRUE),exact(metadata!G336,"mouse"))</f>
        <v>0</v>
      </c>
      <c r="AB336">
        <f>AND(IF(metadata!H336="",FALSE,TRUE),exact(metadata!H336,"Mus musculus"))</f>
        <v>0</v>
      </c>
      <c r="AC336">
        <f>AND(IF(metadata!I336="",FALSE,TRUE),exact(metadata!I336,"10090"))</f>
        <v>0</v>
      </c>
      <c r="AD336">
        <f>OR(AND(IF(metadata!J336="",FALSE,TRUE),OR(exact(metadata!J336,"not applicable"),exact(metadata!J336,"missing: not collected"),exact(metadata!J336,"missing: not provided"),exact(metadata!J336,"missing: restricted access"))),AND(IF(metadata!J336="",FALSE,ISNUMBER(VALUE(metadata!J336))),metadata!J336&gt;0))</f>
        <v>0</v>
      </c>
      <c r="AE336">
        <f>AND(IF(metadata!K336="",FALSE,TRUE),exact(metadata!K336,"g"))</f>
        <v>0</v>
      </c>
    </row>
    <row r="337" spans="1:31">
      <c r="A337" s="5">
        <f>IF(B337=" "," ",HYPERLINK(CONCATENATE("#metadata!",ADDRESS(INDEX($Q$2:$Q$1001,MATCH(ROWS($O$2:O337),$O$2:$O$1001,0),0),1)),INDEX($T$2:$T$1001,MATCH(ROWS($O$2:O337),$O$2:$O$1001,0),0)))</f>
        <v>0</v>
      </c>
      <c r="B337" s="4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4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4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4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4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4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4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4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4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4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OR(AND(IF(metadata!C337="",FALSE,TRUE),OR(exact(metadata!C337,"not applicable"),exact(metadata!C337,"missing: not collected"),exact(metadata!C337,"missing: not provided"),exact(metadata!C337,"missing: restricted access"))),AND(IF(metadata!C337="",FALSE,ISNUMBER(VALUE(metadata!C337))),metadata!C337&gt;0))</f>
        <v>0</v>
      </c>
      <c r="X337">
        <f>AND(IF(metadata!D337="",FALSE,TRUE),exact(metadata!D337,"weeks"))</f>
        <v>0</v>
      </c>
      <c r="Y337">
        <f>AND(IF(metadata!E337="",FALSE,TRUE),exact(metadata!E337,"urban biome"))</f>
        <v>0</v>
      </c>
      <c r="Z337">
        <f>AND(IF(metadata!F337="",FALSE,TRUE),exact(metadata!F337,"animal-associated habitat"))</f>
        <v>0</v>
      </c>
      <c r="AA337">
        <f>AND(IF(metadata!G337="",FALSE,TRUE),exact(metadata!G337,"mouse"))</f>
        <v>0</v>
      </c>
      <c r="AB337">
        <f>AND(IF(metadata!H337="",FALSE,TRUE),exact(metadata!H337,"Mus musculus"))</f>
        <v>0</v>
      </c>
      <c r="AC337">
        <f>AND(IF(metadata!I337="",FALSE,TRUE),exact(metadata!I337,"10090"))</f>
        <v>0</v>
      </c>
      <c r="AD337">
        <f>OR(AND(IF(metadata!J337="",FALSE,TRUE),OR(exact(metadata!J337,"not applicable"),exact(metadata!J337,"missing: not collected"),exact(metadata!J337,"missing: not provided"),exact(metadata!J337,"missing: restricted access"))),AND(IF(metadata!J337="",FALSE,ISNUMBER(VALUE(metadata!J337))),metadata!J337&gt;0))</f>
        <v>0</v>
      </c>
      <c r="AE337">
        <f>AND(IF(metadata!K337="",FALSE,TRUE),exact(metadata!K337,"g"))</f>
        <v>0</v>
      </c>
    </row>
    <row r="338" spans="1:31">
      <c r="A338" s="5">
        <f>IF(B338=" "," ",HYPERLINK(CONCATENATE("#metadata!",ADDRESS(INDEX($Q$2:$Q$1001,MATCH(ROWS($O$2:O338),$O$2:$O$1001,0),0),1)),INDEX($T$2:$T$1001,MATCH(ROWS($O$2:O338),$O$2:$O$1001,0),0)))</f>
        <v>0</v>
      </c>
      <c r="B338" s="4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4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4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4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4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4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4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4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4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4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OR(AND(IF(metadata!C338="",FALSE,TRUE),OR(exact(metadata!C338,"not applicable"),exact(metadata!C338,"missing: not collected"),exact(metadata!C338,"missing: not provided"),exact(metadata!C338,"missing: restricted access"))),AND(IF(metadata!C338="",FALSE,ISNUMBER(VALUE(metadata!C338))),metadata!C338&gt;0))</f>
        <v>0</v>
      </c>
      <c r="X338">
        <f>AND(IF(metadata!D338="",FALSE,TRUE),exact(metadata!D338,"weeks"))</f>
        <v>0</v>
      </c>
      <c r="Y338">
        <f>AND(IF(metadata!E338="",FALSE,TRUE),exact(metadata!E338,"urban biome"))</f>
        <v>0</v>
      </c>
      <c r="Z338">
        <f>AND(IF(metadata!F338="",FALSE,TRUE),exact(metadata!F338,"animal-associated habitat"))</f>
        <v>0</v>
      </c>
      <c r="AA338">
        <f>AND(IF(metadata!G338="",FALSE,TRUE),exact(metadata!G338,"mouse"))</f>
        <v>0</v>
      </c>
      <c r="AB338">
        <f>AND(IF(metadata!H338="",FALSE,TRUE),exact(metadata!H338,"Mus musculus"))</f>
        <v>0</v>
      </c>
      <c r="AC338">
        <f>AND(IF(metadata!I338="",FALSE,TRUE),exact(metadata!I338,"10090"))</f>
        <v>0</v>
      </c>
      <c r="AD338">
        <f>OR(AND(IF(metadata!J338="",FALSE,TRUE),OR(exact(metadata!J338,"not applicable"),exact(metadata!J338,"missing: not collected"),exact(metadata!J338,"missing: not provided"),exact(metadata!J338,"missing: restricted access"))),AND(IF(metadata!J338="",FALSE,ISNUMBER(VALUE(metadata!J338))),metadata!J338&gt;0))</f>
        <v>0</v>
      </c>
      <c r="AE338">
        <f>AND(IF(metadata!K338="",FALSE,TRUE),exact(metadata!K338,"g"))</f>
        <v>0</v>
      </c>
    </row>
    <row r="339" spans="1:31">
      <c r="A339" s="5">
        <f>IF(B339=" "," ",HYPERLINK(CONCATENATE("#metadata!",ADDRESS(INDEX($Q$2:$Q$1001,MATCH(ROWS($O$2:O339),$O$2:$O$1001,0),0),1)),INDEX($T$2:$T$1001,MATCH(ROWS($O$2:O339),$O$2:$O$1001,0),0)))</f>
        <v>0</v>
      </c>
      <c r="B339" s="4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4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4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4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4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4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4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4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4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4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OR(AND(IF(metadata!C339="",FALSE,TRUE),OR(exact(metadata!C339,"not applicable"),exact(metadata!C339,"missing: not collected"),exact(metadata!C339,"missing: not provided"),exact(metadata!C339,"missing: restricted access"))),AND(IF(metadata!C339="",FALSE,ISNUMBER(VALUE(metadata!C339))),metadata!C339&gt;0))</f>
        <v>0</v>
      </c>
      <c r="X339">
        <f>AND(IF(metadata!D339="",FALSE,TRUE),exact(metadata!D339,"weeks"))</f>
        <v>0</v>
      </c>
      <c r="Y339">
        <f>AND(IF(metadata!E339="",FALSE,TRUE),exact(metadata!E339,"urban biome"))</f>
        <v>0</v>
      </c>
      <c r="Z339">
        <f>AND(IF(metadata!F339="",FALSE,TRUE),exact(metadata!F339,"animal-associated habitat"))</f>
        <v>0</v>
      </c>
      <c r="AA339">
        <f>AND(IF(metadata!G339="",FALSE,TRUE),exact(metadata!G339,"mouse"))</f>
        <v>0</v>
      </c>
      <c r="AB339">
        <f>AND(IF(metadata!H339="",FALSE,TRUE),exact(metadata!H339,"Mus musculus"))</f>
        <v>0</v>
      </c>
      <c r="AC339">
        <f>AND(IF(metadata!I339="",FALSE,TRUE),exact(metadata!I339,"10090"))</f>
        <v>0</v>
      </c>
      <c r="AD339">
        <f>OR(AND(IF(metadata!J339="",FALSE,TRUE),OR(exact(metadata!J339,"not applicable"),exact(metadata!J339,"missing: not collected"),exact(metadata!J339,"missing: not provided"),exact(metadata!J339,"missing: restricted access"))),AND(IF(metadata!J339="",FALSE,ISNUMBER(VALUE(metadata!J339))),metadata!J339&gt;0))</f>
        <v>0</v>
      </c>
      <c r="AE339">
        <f>AND(IF(metadata!K339="",FALSE,TRUE),exact(metadata!K339,"g"))</f>
        <v>0</v>
      </c>
    </row>
    <row r="340" spans="1:31">
      <c r="A340" s="5">
        <f>IF(B340=" "," ",HYPERLINK(CONCATENATE("#metadata!",ADDRESS(INDEX($Q$2:$Q$1001,MATCH(ROWS($O$2:O340),$O$2:$O$1001,0),0),1)),INDEX($T$2:$T$1001,MATCH(ROWS($O$2:O340),$O$2:$O$1001,0),0)))</f>
        <v>0</v>
      </c>
      <c r="B340" s="4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4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4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4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4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4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4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4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4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4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OR(AND(IF(metadata!C340="",FALSE,TRUE),OR(exact(metadata!C340,"not applicable"),exact(metadata!C340,"missing: not collected"),exact(metadata!C340,"missing: not provided"),exact(metadata!C340,"missing: restricted access"))),AND(IF(metadata!C340="",FALSE,ISNUMBER(VALUE(metadata!C340))),metadata!C340&gt;0))</f>
        <v>0</v>
      </c>
      <c r="X340">
        <f>AND(IF(metadata!D340="",FALSE,TRUE),exact(metadata!D340,"weeks"))</f>
        <v>0</v>
      </c>
      <c r="Y340">
        <f>AND(IF(metadata!E340="",FALSE,TRUE),exact(metadata!E340,"urban biome"))</f>
        <v>0</v>
      </c>
      <c r="Z340">
        <f>AND(IF(metadata!F340="",FALSE,TRUE),exact(metadata!F340,"animal-associated habitat"))</f>
        <v>0</v>
      </c>
      <c r="AA340">
        <f>AND(IF(metadata!G340="",FALSE,TRUE),exact(metadata!G340,"mouse"))</f>
        <v>0</v>
      </c>
      <c r="AB340">
        <f>AND(IF(metadata!H340="",FALSE,TRUE),exact(metadata!H340,"Mus musculus"))</f>
        <v>0</v>
      </c>
      <c r="AC340">
        <f>AND(IF(metadata!I340="",FALSE,TRUE),exact(metadata!I340,"10090"))</f>
        <v>0</v>
      </c>
      <c r="AD340">
        <f>OR(AND(IF(metadata!J340="",FALSE,TRUE),OR(exact(metadata!J340,"not applicable"),exact(metadata!J340,"missing: not collected"),exact(metadata!J340,"missing: not provided"),exact(metadata!J340,"missing: restricted access"))),AND(IF(metadata!J340="",FALSE,ISNUMBER(VALUE(metadata!J340))),metadata!J340&gt;0))</f>
        <v>0</v>
      </c>
      <c r="AE340">
        <f>AND(IF(metadata!K340="",FALSE,TRUE),exact(metadata!K340,"g"))</f>
        <v>0</v>
      </c>
    </row>
    <row r="341" spans="1:31">
      <c r="A341" s="5">
        <f>IF(B341=" "," ",HYPERLINK(CONCATENATE("#metadata!",ADDRESS(INDEX($Q$2:$Q$1001,MATCH(ROWS($O$2:O341),$O$2:$O$1001,0),0),1)),INDEX($T$2:$T$1001,MATCH(ROWS($O$2:O341),$O$2:$O$1001,0),0)))</f>
        <v>0</v>
      </c>
      <c r="B341" s="4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4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4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4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4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4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4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4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4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4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OR(AND(IF(metadata!C341="",FALSE,TRUE),OR(exact(metadata!C341,"not applicable"),exact(metadata!C341,"missing: not collected"),exact(metadata!C341,"missing: not provided"),exact(metadata!C341,"missing: restricted access"))),AND(IF(metadata!C341="",FALSE,ISNUMBER(VALUE(metadata!C341))),metadata!C341&gt;0))</f>
        <v>0</v>
      </c>
      <c r="X341">
        <f>AND(IF(metadata!D341="",FALSE,TRUE),exact(metadata!D341,"weeks"))</f>
        <v>0</v>
      </c>
      <c r="Y341">
        <f>AND(IF(metadata!E341="",FALSE,TRUE),exact(metadata!E341,"urban biome"))</f>
        <v>0</v>
      </c>
      <c r="Z341">
        <f>AND(IF(metadata!F341="",FALSE,TRUE),exact(metadata!F341,"animal-associated habitat"))</f>
        <v>0</v>
      </c>
      <c r="AA341">
        <f>AND(IF(metadata!G341="",FALSE,TRUE),exact(metadata!G341,"mouse"))</f>
        <v>0</v>
      </c>
      <c r="AB341">
        <f>AND(IF(metadata!H341="",FALSE,TRUE),exact(metadata!H341,"Mus musculus"))</f>
        <v>0</v>
      </c>
      <c r="AC341">
        <f>AND(IF(metadata!I341="",FALSE,TRUE),exact(metadata!I341,"10090"))</f>
        <v>0</v>
      </c>
      <c r="AD341">
        <f>OR(AND(IF(metadata!J341="",FALSE,TRUE),OR(exact(metadata!J341,"not applicable"),exact(metadata!J341,"missing: not collected"),exact(metadata!J341,"missing: not provided"),exact(metadata!J341,"missing: restricted access"))),AND(IF(metadata!J341="",FALSE,ISNUMBER(VALUE(metadata!J341))),metadata!J341&gt;0))</f>
        <v>0</v>
      </c>
      <c r="AE341">
        <f>AND(IF(metadata!K341="",FALSE,TRUE),exact(metadata!K341,"g"))</f>
        <v>0</v>
      </c>
    </row>
    <row r="342" spans="1:31">
      <c r="A342" s="5">
        <f>IF(B342=" "," ",HYPERLINK(CONCATENATE("#metadata!",ADDRESS(INDEX($Q$2:$Q$1001,MATCH(ROWS($O$2:O342),$O$2:$O$1001,0),0),1)),INDEX($T$2:$T$1001,MATCH(ROWS($O$2:O342),$O$2:$O$1001,0),0)))</f>
        <v>0</v>
      </c>
      <c r="B342" s="4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4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4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4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4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4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4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4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4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4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OR(AND(IF(metadata!C342="",FALSE,TRUE),OR(exact(metadata!C342,"not applicable"),exact(metadata!C342,"missing: not collected"),exact(metadata!C342,"missing: not provided"),exact(metadata!C342,"missing: restricted access"))),AND(IF(metadata!C342="",FALSE,ISNUMBER(VALUE(metadata!C342))),metadata!C342&gt;0))</f>
        <v>0</v>
      </c>
      <c r="X342">
        <f>AND(IF(metadata!D342="",FALSE,TRUE),exact(metadata!D342,"weeks"))</f>
        <v>0</v>
      </c>
      <c r="Y342">
        <f>AND(IF(metadata!E342="",FALSE,TRUE),exact(metadata!E342,"urban biome"))</f>
        <v>0</v>
      </c>
      <c r="Z342">
        <f>AND(IF(metadata!F342="",FALSE,TRUE),exact(metadata!F342,"animal-associated habitat"))</f>
        <v>0</v>
      </c>
      <c r="AA342">
        <f>AND(IF(metadata!G342="",FALSE,TRUE),exact(metadata!G342,"mouse"))</f>
        <v>0</v>
      </c>
      <c r="AB342">
        <f>AND(IF(metadata!H342="",FALSE,TRUE),exact(metadata!H342,"Mus musculus"))</f>
        <v>0</v>
      </c>
      <c r="AC342">
        <f>AND(IF(metadata!I342="",FALSE,TRUE),exact(metadata!I342,"10090"))</f>
        <v>0</v>
      </c>
      <c r="AD342">
        <f>OR(AND(IF(metadata!J342="",FALSE,TRUE),OR(exact(metadata!J342,"not applicable"),exact(metadata!J342,"missing: not collected"),exact(metadata!J342,"missing: not provided"),exact(metadata!J342,"missing: restricted access"))),AND(IF(metadata!J342="",FALSE,ISNUMBER(VALUE(metadata!J342))),metadata!J342&gt;0))</f>
        <v>0</v>
      </c>
      <c r="AE342">
        <f>AND(IF(metadata!K342="",FALSE,TRUE),exact(metadata!K342,"g"))</f>
        <v>0</v>
      </c>
    </row>
    <row r="343" spans="1:31">
      <c r="A343" s="5">
        <f>IF(B343=" "," ",HYPERLINK(CONCATENATE("#metadata!",ADDRESS(INDEX($Q$2:$Q$1001,MATCH(ROWS($O$2:O343),$O$2:$O$1001,0),0),1)),INDEX($T$2:$T$1001,MATCH(ROWS($O$2:O343),$O$2:$O$1001,0),0)))</f>
        <v>0</v>
      </c>
      <c r="B343" s="4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4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4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4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4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4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4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4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4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4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OR(AND(IF(metadata!C343="",FALSE,TRUE),OR(exact(metadata!C343,"not applicable"),exact(metadata!C343,"missing: not collected"),exact(metadata!C343,"missing: not provided"),exact(metadata!C343,"missing: restricted access"))),AND(IF(metadata!C343="",FALSE,ISNUMBER(VALUE(metadata!C343))),metadata!C343&gt;0))</f>
        <v>0</v>
      </c>
      <c r="X343">
        <f>AND(IF(metadata!D343="",FALSE,TRUE),exact(metadata!D343,"weeks"))</f>
        <v>0</v>
      </c>
      <c r="Y343">
        <f>AND(IF(metadata!E343="",FALSE,TRUE),exact(metadata!E343,"urban biome"))</f>
        <v>0</v>
      </c>
      <c r="Z343">
        <f>AND(IF(metadata!F343="",FALSE,TRUE),exact(metadata!F343,"animal-associated habitat"))</f>
        <v>0</v>
      </c>
      <c r="AA343">
        <f>AND(IF(metadata!G343="",FALSE,TRUE),exact(metadata!G343,"mouse"))</f>
        <v>0</v>
      </c>
      <c r="AB343">
        <f>AND(IF(metadata!H343="",FALSE,TRUE),exact(metadata!H343,"Mus musculus"))</f>
        <v>0</v>
      </c>
      <c r="AC343">
        <f>AND(IF(metadata!I343="",FALSE,TRUE),exact(metadata!I343,"10090"))</f>
        <v>0</v>
      </c>
      <c r="AD343">
        <f>OR(AND(IF(metadata!J343="",FALSE,TRUE),OR(exact(metadata!J343,"not applicable"),exact(metadata!J343,"missing: not collected"),exact(metadata!J343,"missing: not provided"),exact(metadata!J343,"missing: restricted access"))),AND(IF(metadata!J343="",FALSE,ISNUMBER(VALUE(metadata!J343))),metadata!J343&gt;0))</f>
        <v>0</v>
      </c>
      <c r="AE343">
        <f>AND(IF(metadata!K343="",FALSE,TRUE),exact(metadata!K343,"g"))</f>
        <v>0</v>
      </c>
    </row>
    <row r="344" spans="1:31">
      <c r="A344" s="5">
        <f>IF(B344=" "," ",HYPERLINK(CONCATENATE("#metadata!",ADDRESS(INDEX($Q$2:$Q$1001,MATCH(ROWS($O$2:O344),$O$2:$O$1001,0),0),1)),INDEX($T$2:$T$1001,MATCH(ROWS($O$2:O344),$O$2:$O$1001,0),0)))</f>
        <v>0</v>
      </c>
      <c r="B344" s="4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4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4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4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4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4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4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4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4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4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OR(AND(IF(metadata!C344="",FALSE,TRUE),OR(exact(metadata!C344,"not applicable"),exact(metadata!C344,"missing: not collected"),exact(metadata!C344,"missing: not provided"),exact(metadata!C344,"missing: restricted access"))),AND(IF(metadata!C344="",FALSE,ISNUMBER(VALUE(metadata!C344))),metadata!C344&gt;0))</f>
        <v>0</v>
      </c>
      <c r="X344">
        <f>AND(IF(metadata!D344="",FALSE,TRUE),exact(metadata!D344,"weeks"))</f>
        <v>0</v>
      </c>
      <c r="Y344">
        <f>AND(IF(metadata!E344="",FALSE,TRUE),exact(metadata!E344,"urban biome"))</f>
        <v>0</v>
      </c>
      <c r="Z344">
        <f>AND(IF(metadata!F344="",FALSE,TRUE),exact(metadata!F344,"animal-associated habitat"))</f>
        <v>0</v>
      </c>
      <c r="AA344">
        <f>AND(IF(metadata!G344="",FALSE,TRUE),exact(metadata!G344,"mouse"))</f>
        <v>0</v>
      </c>
      <c r="AB344">
        <f>AND(IF(metadata!H344="",FALSE,TRUE),exact(metadata!H344,"Mus musculus"))</f>
        <v>0</v>
      </c>
      <c r="AC344">
        <f>AND(IF(metadata!I344="",FALSE,TRUE),exact(metadata!I344,"10090"))</f>
        <v>0</v>
      </c>
      <c r="AD344">
        <f>OR(AND(IF(metadata!J344="",FALSE,TRUE),OR(exact(metadata!J344,"not applicable"),exact(metadata!J344,"missing: not collected"),exact(metadata!J344,"missing: not provided"),exact(metadata!J344,"missing: restricted access"))),AND(IF(metadata!J344="",FALSE,ISNUMBER(VALUE(metadata!J344))),metadata!J344&gt;0))</f>
        <v>0</v>
      </c>
      <c r="AE344">
        <f>AND(IF(metadata!K344="",FALSE,TRUE),exact(metadata!K344,"g"))</f>
        <v>0</v>
      </c>
    </row>
    <row r="345" spans="1:31">
      <c r="A345" s="5">
        <f>IF(B345=" "," ",HYPERLINK(CONCATENATE("#metadata!",ADDRESS(INDEX($Q$2:$Q$1001,MATCH(ROWS($O$2:O345),$O$2:$O$1001,0),0),1)),INDEX($T$2:$T$1001,MATCH(ROWS($O$2:O345),$O$2:$O$1001,0),0)))</f>
        <v>0</v>
      </c>
      <c r="B345" s="4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4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4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4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4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4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4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4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4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4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OR(AND(IF(metadata!C345="",FALSE,TRUE),OR(exact(metadata!C345,"not applicable"),exact(metadata!C345,"missing: not collected"),exact(metadata!C345,"missing: not provided"),exact(metadata!C345,"missing: restricted access"))),AND(IF(metadata!C345="",FALSE,ISNUMBER(VALUE(metadata!C345))),metadata!C345&gt;0))</f>
        <v>0</v>
      </c>
      <c r="X345">
        <f>AND(IF(metadata!D345="",FALSE,TRUE),exact(metadata!D345,"weeks"))</f>
        <v>0</v>
      </c>
      <c r="Y345">
        <f>AND(IF(metadata!E345="",FALSE,TRUE),exact(metadata!E345,"urban biome"))</f>
        <v>0</v>
      </c>
      <c r="Z345">
        <f>AND(IF(metadata!F345="",FALSE,TRUE),exact(metadata!F345,"animal-associated habitat"))</f>
        <v>0</v>
      </c>
      <c r="AA345">
        <f>AND(IF(metadata!G345="",FALSE,TRUE),exact(metadata!G345,"mouse"))</f>
        <v>0</v>
      </c>
      <c r="AB345">
        <f>AND(IF(metadata!H345="",FALSE,TRUE),exact(metadata!H345,"Mus musculus"))</f>
        <v>0</v>
      </c>
      <c r="AC345">
        <f>AND(IF(metadata!I345="",FALSE,TRUE),exact(metadata!I345,"10090"))</f>
        <v>0</v>
      </c>
      <c r="AD345">
        <f>OR(AND(IF(metadata!J345="",FALSE,TRUE),OR(exact(metadata!J345,"not applicable"),exact(metadata!J345,"missing: not collected"),exact(metadata!J345,"missing: not provided"),exact(metadata!J345,"missing: restricted access"))),AND(IF(metadata!J345="",FALSE,ISNUMBER(VALUE(metadata!J345))),metadata!J345&gt;0))</f>
        <v>0</v>
      </c>
      <c r="AE345">
        <f>AND(IF(metadata!K345="",FALSE,TRUE),exact(metadata!K345,"g"))</f>
        <v>0</v>
      </c>
    </row>
    <row r="346" spans="1:31">
      <c r="A346" s="5">
        <f>IF(B346=" "," ",HYPERLINK(CONCATENATE("#metadata!",ADDRESS(INDEX($Q$2:$Q$1001,MATCH(ROWS($O$2:O346),$O$2:$O$1001,0),0),1)),INDEX($T$2:$T$1001,MATCH(ROWS($O$2:O346),$O$2:$O$1001,0),0)))</f>
        <v>0</v>
      </c>
      <c r="B346" s="4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4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4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4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4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4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4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4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4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4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OR(AND(IF(metadata!C346="",FALSE,TRUE),OR(exact(metadata!C346,"not applicable"),exact(metadata!C346,"missing: not collected"),exact(metadata!C346,"missing: not provided"),exact(metadata!C346,"missing: restricted access"))),AND(IF(metadata!C346="",FALSE,ISNUMBER(VALUE(metadata!C346))),metadata!C346&gt;0))</f>
        <v>0</v>
      </c>
      <c r="X346">
        <f>AND(IF(metadata!D346="",FALSE,TRUE),exact(metadata!D346,"weeks"))</f>
        <v>0</v>
      </c>
      <c r="Y346">
        <f>AND(IF(metadata!E346="",FALSE,TRUE),exact(metadata!E346,"urban biome"))</f>
        <v>0</v>
      </c>
      <c r="Z346">
        <f>AND(IF(metadata!F346="",FALSE,TRUE),exact(metadata!F346,"animal-associated habitat"))</f>
        <v>0</v>
      </c>
      <c r="AA346">
        <f>AND(IF(metadata!G346="",FALSE,TRUE),exact(metadata!G346,"mouse"))</f>
        <v>0</v>
      </c>
      <c r="AB346">
        <f>AND(IF(metadata!H346="",FALSE,TRUE),exact(metadata!H346,"Mus musculus"))</f>
        <v>0</v>
      </c>
      <c r="AC346">
        <f>AND(IF(metadata!I346="",FALSE,TRUE),exact(metadata!I346,"10090"))</f>
        <v>0</v>
      </c>
      <c r="AD346">
        <f>OR(AND(IF(metadata!J346="",FALSE,TRUE),OR(exact(metadata!J346,"not applicable"),exact(metadata!J346,"missing: not collected"),exact(metadata!J346,"missing: not provided"),exact(metadata!J346,"missing: restricted access"))),AND(IF(metadata!J346="",FALSE,ISNUMBER(VALUE(metadata!J346))),metadata!J346&gt;0))</f>
        <v>0</v>
      </c>
      <c r="AE346">
        <f>AND(IF(metadata!K346="",FALSE,TRUE),exact(metadata!K346,"g"))</f>
        <v>0</v>
      </c>
    </row>
    <row r="347" spans="1:31">
      <c r="A347" s="5">
        <f>IF(B347=" "," ",HYPERLINK(CONCATENATE("#metadata!",ADDRESS(INDEX($Q$2:$Q$1001,MATCH(ROWS($O$2:O347),$O$2:$O$1001,0),0),1)),INDEX($T$2:$T$1001,MATCH(ROWS($O$2:O347),$O$2:$O$1001,0),0)))</f>
        <v>0</v>
      </c>
      <c r="B347" s="4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4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4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4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4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4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4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4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4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4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OR(AND(IF(metadata!C347="",FALSE,TRUE),OR(exact(metadata!C347,"not applicable"),exact(metadata!C347,"missing: not collected"),exact(metadata!C347,"missing: not provided"),exact(metadata!C347,"missing: restricted access"))),AND(IF(metadata!C347="",FALSE,ISNUMBER(VALUE(metadata!C347))),metadata!C347&gt;0))</f>
        <v>0</v>
      </c>
      <c r="X347">
        <f>AND(IF(metadata!D347="",FALSE,TRUE),exact(metadata!D347,"weeks"))</f>
        <v>0</v>
      </c>
      <c r="Y347">
        <f>AND(IF(metadata!E347="",FALSE,TRUE),exact(metadata!E347,"urban biome"))</f>
        <v>0</v>
      </c>
      <c r="Z347">
        <f>AND(IF(metadata!F347="",FALSE,TRUE),exact(metadata!F347,"animal-associated habitat"))</f>
        <v>0</v>
      </c>
      <c r="AA347">
        <f>AND(IF(metadata!G347="",FALSE,TRUE),exact(metadata!G347,"mouse"))</f>
        <v>0</v>
      </c>
      <c r="AB347">
        <f>AND(IF(metadata!H347="",FALSE,TRUE),exact(metadata!H347,"Mus musculus"))</f>
        <v>0</v>
      </c>
      <c r="AC347">
        <f>AND(IF(metadata!I347="",FALSE,TRUE),exact(metadata!I347,"10090"))</f>
        <v>0</v>
      </c>
      <c r="AD347">
        <f>OR(AND(IF(metadata!J347="",FALSE,TRUE),OR(exact(metadata!J347,"not applicable"),exact(metadata!J347,"missing: not collected"),exact(metadata!J347,"missing: not provided"),exact(metadata!J347,"missing: restricted access"))),AND(IF(metadata!J347="",FALSE,ISNUMBER(VALUE(metadata!J347))),metadata!J347&gt;0))</f>
        <v>0</v>
      </c>
      <c r="AE347">
        <f>AND(IF(metadata!K347="",FALSE,TRUE),exact(metadata!K347,"g"))</f>
        <v>0</v>
      </c>
    </row>
    <row r="348" spans="1:31">
      <c r="A348" s="5">
        <f>IF(B348=" "," ",HYPERLINK(CONCATENATE("#metadata!",ADDRESS(INDEX($Q$2:$Q$1001,MATCH(ROWS($O$2:O348),$O$2:$O$1001,0),0),1)),INDEX($T$2:$T$1001,MATCH(ROWS($O$2:O348),$O$2:$O$1001,0),0)))</f>
        <v>0</v>
      </c>
      <c r="B348" s="4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4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4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4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4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4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4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4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4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4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OR(AND(IF(metadata!C348="",FALSE,TRUE),OR(exact(metadata!C348,"not applicable"),exact(metadata!C348,"missing: not collected"),exact(metadata!C348,"missing: not provided"),exact(metadata!C348,"missing: restricted access"))),AND(IF(metadata!C348="",FALSE,ISNUMBER(VALUE(metadata!C348))),metadata!C348&gt;0))</f>
        <v>0</v>
      </c>
      <c r="X348">
        <f>AND(IF(metadata!D348="",FALSE,TRUE),exact(metadata!D348,"weeks"))</f>
        <v>0</v>
      </c>
      <c r="Y348">
        <f>AND(IF(metadata!E348="",FALSE,TRUE),exact(metadata!E348,"urban biome"))</f>
        <v>0</v>
      </c>
      <c r="Z348">
        <f>AND(IF(metadata!F348="",FALSE,TRUE),exact(metadata!F348,"animal-associated habitat"))</f>
        <v>0</v>
      </c>
      <c r="AA348">
        <f>AND(IF(metadata!G348="",FALSE,TRUE),exact(metadata!G348,"mouse"))</f>
        <v>0</v>
      </c>
      <c r="AB348">
        <f>AND(IF(metadata!H348="",FALSE,TRUE),exact(metadata!H348,"Mus musculus"))</f>
        <v>0</v>
      </c>
      <c r="AC348">
        <f>AND(IF(metadata!I348="",FALSE,TRUE),exact(metadata!I348,"10090"))</f>
        <v>0</v>
      </c>
      <c r="AD348">
        <f>OR(AND(IF(metadata!J348="",FALSE,TRUE),OR(exact(metadata!J348,"not applicable"),exact(metadata!J348,"missing: not collected"),exact(metadata!J348,"missing: not provided"),exact(metadata!J348,"missing: restricted access"))),AND(IF(metadata!J348="",FALSE,ISNUMBER(VALUE(metadata!J348))),metadata!J348&gt;0))</f>
        <v>0</v>
      </c>
      <c r="AE348">
        <f>AND(IF(metadata!K348="",FALSE,TRUE),exact(metadata!K348,"g"))</f>
        <v>0</v>
      </c>
    </row>
    <row r="349" spans="1:31">
      <c r="A349" s="5">
        <f>IF(B349=" "," ",HYPERLINK(CONCATENATE("#metadata!",ADDRESS(INDEX($Q$2:$Q$1001,MATCH(ROWS($O$2:O349),$O$2:$O$1001,0),0),1)),INDEX($T$2:$T$1001,MATCH(ROWS($O$2:O349),$O$2:$O$1001,0),0)))</f>
        <v>0</v>
      </c>
      <c r="B349" s="4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4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4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4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4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4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4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4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4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4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OR(AND(IF(metadata!C349="",FALSE,TRUE),OR(exact(metadata!C349,"not applicable"),exact(metadata!C349,"missing: not collected"),exact(metadata!C349,"missing: not provided"),exact(metadata!C349,"missing: restricted access"))),AND(IF(metadata!C349="",FALSE,ISNUMBER(VALUE(metadata!C349))),metadata!C349&gt;0))</f>
        <v>0</v>
      </c>
      <c r="X349">
        <f>AND(IF(metadata!D349="",FALSE,TRUE),exact(metadata!D349,"weeks"))</f>
        <v>0</v>
      </c>
      <c r="Y349">
        <f>AND(IF(metadata!E349="",FALSE,TRUE),exact(metadata!E349,"urban biome"))</f>
        <v>0</v>
      </c>
      <c r="Z349">
        <f>AND(IF(metadata!F349="",FALSE,TRUE),exact(metadata!F349,"animal-associated habitat"))</f>
        <v>0</v>
      </c>
      <c r="AA349">
        <f>AND(IF(metadata!G349="",FALSE,TRUE),exact(metadata!G349,"mouse"))</f>
        <v>0</v>
      </c>
      <c r="AB349">
        <f>AND(IF(metadata!H349="",FALSE,TRUE),exact(metadata!H349,"Mus musculus"))</f>
        <v>0</v>
      </c>
      <c r="AC349">
        <f>AND(IF(metadata!I349="",FALSE,TRUE),exact(metadata!I349,"10090"))</f>
        <v>0</v>
      </c>
      <c r="AD349">
        <f>OR(AND(IF(metadata!J349="",FALSE,TRUE),OR(exact(metadata!J349,"not applicable"),exact(metadata!J349,"missing: not collected"),exact(metadata!J349,"missing: not provided"),exact(metadata!J349,"missing: restricted access"))),AND(IF(metadata!J349="",FALSE,ISNUMBER(VALUE(metadata!J349))),metadata!J349&gt;0))</f>
        <v>0</v>
      </c>
      <c r="AE349">
        <f>AND(IF(metadata!K349="",FALSE,TRUE),exact(metadata!K349,"g"))</f>
        <v>0</v>
      </c>
    </row>
    <row r="350" spans="1:31">
      <c r="A350" s="5">
        <f>IF(B350=" "," ",HYPERLINK(CONCATENATE("#metadata!",ADDRESS(INDEX($Q$2:$Q$1001,MATCH(ROWS($O$2:O350),$O$2:$O$1001,0),0),1)),INDEX($T$2:$T$1001,MATCH(ROWS($O$2:O350),$O$2:$O$1001,0),0)))</f>
        <v>0</v>
      </c>
      <c r="B350" s="4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4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4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4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4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4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4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4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4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4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OR(AND(IF(metadata!C350="",FALSE,TRUE),OR(exact(metadata!C350,"not applicable"),exact(metadata!C350,"missing: not collected"),exact(metadata!C350,"missing: not provided"),exact(metadata!C350,"missing: restricted access"))),AND(IF(metadata!C350="",FALSE,ISNUMBER(VALUE(metadata!C350))),metadata!C350&gt;0))</f>
        <v>0</v>
      </c>
      <c r="X350">
        <f>AND(IF(metadata!D350="",FALSE,TRUE),exact(metadata!D350,"weeks"))</f>
        <v>0</v>
      </c>
      <c r="Y350">
        <f>AND(IF(metadata!E350="",FALSE,TRUE),exact(metadata!E350,"urban biome"))</f>
        <v>0</v>
      </c>
      <c r="Z350">
        <f>AND(IF(metadata!F350="",FALSE,TRUE),exact(metadata!F350,"animal-associated habitat"))</f>
        <v>0</v>
      </c>
      <c r="AA350">
        <f>AND(IF(metadata!G350="",FALSE,TRUE),exact(metadata!G350,"mouse"))</f>
        <v>0</v>
      </c>
      <c r="AB350">
        <f>AND(IF(metadata!H350="",FALSE,TRUE),exact(metadata!H350,"Mus musculus"))</f>
        <v>0</v>
      </c>
      <c r="AC350">
        <f>AND(IF(metadata!I350="",FALSE,TRUE),exact(metadata!I350,"10090"))</f>
        <v>0</v>
      </c>
      <c r="AD350">
        <f>OR(AND(IF(metadata!J350="",FALSE,TRUE),OR(exact(metadata!J350,"not applicable"),exact(metadata!J350,"missing: not collected"),exact(metadata!J350,"missing: not provided"),exact(metadata!J350,"missing: restricted access"))),AND(IF(metadata!J350="",FALSE,ISNUMBER(VALUE(metadata!J350))),metadata!J350&gt;0))</f>
        <v>0</v>
      </c>
      <c r="AE350">
        <f>AND(IF(metadata!K350="",FALSE,TRUE),exact(metadata!K350,"g"))</f>
        <v>0</v>
      </c>
    </row>
    <row r="351" spans="1:31">
      <c r="A351" s="5">
        <f>IF(B351=" "," ",HYPERLINK(CONCATENATE("#metadata!",ADDRESS(INDEX($Q$2:$Q$1001,MATCH(ROWS($O$2:O351),$O$2:$O$1001,0),0),1)),INDEX($T$2:$T$1001,MATCH(ROWS($O$2:O351),$O$2:$O$1001,0),0)))</f>
        <v>0</v>
      </c>
      <c r="B351" s="4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4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4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4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4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4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4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4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4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4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OR(AND(IF(metadata!C351="",FALSE,TRUE),OR(exact(metadata!C351,"not applicable"),exact(metadata!C351,"missing: not collected"),exact(metadata!C351,"missing: not provided"),exact(metadata!C351,"missing: restricted access"))),AND(IF(metadata!C351="",FALSE,ISNUMBER(VALUE(metadata!C351))),metadata!C351&gt;0))</f>
        <v>0</v>
      </c>
      <c r="X351">
        <f>AND(IF(metadata!D351="",FALSE,TRUE),exact(metadata!D351,"weeks"))</f>
        <v>0</v>
      </c>
      <c r="Y351">
        <f>AND(IF(metadata!E351="",FALSE,TRUE),exact(metadata!E351,"urban biome"))</f>
        <v>0</v>
      </c>
      <c r="Z351">
        <f>AND(IF(metadata!F351="",FALSE,TRUE),exact(metadata!F351,"animal-associated habitat"))</f>
        <v>0</v>
      </c>
      <c r="AA351">
        <f>AND(IF(metadata!G351="",FALSE,TRUE),exact(metadata!G351,"mouse"))</f>
        <v>0</v>
      </c>
      <c r="AB351">
        <f>AND(IF(metadata!H351="",FALSE,TRUE),exact(metadata!H351,"Mus musculus"))</f>
        <v>0</v>
      </c>
      <c r="AC351">
        <f>AND(IF(metadata!I351="",FALSE,TRUE),exact(metadata!I351,"10090"))</f>
        <v>0</v>
      </c>
      <c r="AD351">
        <f>OR(AND(IF(metadata!J351="",FALSE,TRUE),OR(exact(metadata!J351,"not applicable"),exact(metadata!J351,"missing: not collected"),exact(metadata!J351,"missing: not provided"),exact(metadata!J351,"missing: restricted access"))),AND(IF(metadata!J351="",FALSE,ISNUMBER(VALUE(metadata!J351))),metadata!J351&gt;0))</f>
        <v>0</v>
      </c>
      <c r="AE351">
        <f>AND(IF(metadata!K351="",FALSE,TRUE),exact(metadata!K351,"g"))</f>
        <v>0</v>
      </c>
    </row>
    <row r="352" spans="1:31">
      <c r="A352" s="5">
        <f>IF(B352=" "," ",HYPERLINK(CONCATENATE("#metadata!",ADDRESS(INDEX($Q$2:$Q$1001,MATCH(ROWS($O$2:O352),$O$2:$O$1001,0),0),1)),INDEX($T$2:$T$1001,MATCH(ROWS($O$2:O352),$O$2:$O$1001,0),0)))</f>
        <v>0</v>
      </c>
      <c r="B352" s="4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4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4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4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4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4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4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4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4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4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OR(AND(IF(metadata!C352="",FALSE,TRUE),OR(exact(metadata!C352,"not applicable"),exact(metadata!C352,"missing: not collected"),exact(metadata!C352,"missing: not provided"),exact(metadata!C352,"missing: restricted access"))),AND(IF(metadata!C352="",FALSE,ISNUMBER(VALUE(metadata!C352))),metadata!C352&gt;0))</f>
        <v>0</v>
      </c>
      <c r="X352">
        <f>AND(IF(metadata!D352="",FALSE,TRUE),exact(metadata!D352,"weeks"))</f>
        <v>0</v>
      </c>
      <c r="Y352">
        <f>AND(IF(metadata!E352="",FALSE,TRUE),exact(metadata!E352,"urban biome"))</f>
        <v>0</v>
      </c>
      <c r="Z352">
        <f>AND(IF(metadata!F352="",FALSE,TRUE),exact(metadata!F352,"animal-associated habitat"))</f>
        <v>0</v>
      </c>
      <c r="AA352">
        <f>AND(IF(metadata!G352="",FALSE,TRUE),exact(metadata!G352,"mouse"))</f>
        <v>0</v>
      </c>
      <c r="AB352">
        <f>AND(IF(metadata!H352="",FALSE,TRUE),exact(metadata!H352,"Mus musculus"))</f>
        <v>0</v>
      </c>
      <c r="AC352">
        <f>AND(IF(metadata!I352="",FALSE,TRUE),exact(metadata!I352,"10090"))</f>
        <v>0</v>
      </c>
      <c r="AD352">
        <f>OR(AND(IF(metadata!J352="",FALSE,TRUE),OR(exact(metadata!J352,"not applicable"),exact(metadata!J352,"missing: not collected"),exact(metadata!J352,"missing: not provided"),exact(metadata!J352,"missing: restricted access"))),AND(IF(metadata!J352="",FALSE,ISNUMBER(VALUE(metadata!J352))),metadata!J352&gt;0))</f>
        <v>0</v>
      </c>
      <c r="AE352">
        <f>AND(IF(metadata!K352="",FALSE,TRUE),exact(metadata!K352,"g"))</f>
        <v>0</v>
      </c>
    </row>
    <row r="353" spans="1:31">
      <c r="A353" s="5">
        <f>IF(B353=" "," ",HYPERLINK(CONCATENATE("#metadata!",ADDRESS(INDEX($Q$2:$Q$1001,MATCH(ROWS($O$2:O353),$O$2:$O$1001,0),0),1)),INDEX($T$2:$T$1001,MATCH(ROWS($O$2:O353),$O$2:$O$1001,0),0)))</f>
        <v>0</v>
      </c>
      <c r="B353" s="4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4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4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4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4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4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4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4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4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4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OR(AND(IF(metadata!C353="",FALSE,TRUE),OR(exact(metadata!C353,"not applicable"),exact(metadata!C353,"missing: not collected"),exact(metadata!C353,"missing: not provided"),exact(metadata!C353,"missing: restricted access"))),AND(IF(metadata!C353="",FALSE,ISNUMBER(VALUE(metadata!C353))),metadata!C353&gt;0))</f>
        <v>0</v>
      </c>
      <c r="X353">
        <f>AND(IF(metadata!D353="",FALSE,TRUE),exact(metadata!D353,"weeks"))</f>
        <v>0</v>
      </c>
      <c r="Y353">
        <f>AND(IF(metadata!E353="",FALSE,TRUE),exact(metadata!E353,"urban biome"))</f>
        <v>0</v>
      </c>
      <c r="Z353">
        <f>AND(IF(metadata!F353="",FALSE,TRUE),exact(metadata!F353,"animal-associated habitat"))</f>
        <v>0</v>
      </c>
      <c r="AA353">
        <f>AND(IF(metadata!G353="",FALSE,TRUE),exact(metadata!G353,"mouse"))</f>
        <v>0</v>
      </c>
      <c r="AB353">
        <f>AND(IF(metadata!H353="",FALSE,TRUE),exact(metadata!H353,"Mus musculus"))</f>
        <v>0</v>
      </c>
      <c r="AC353">
        <f>AND(IF(metadata!I353="",FALSE,TRUE),exact(metadata!I353,"10090"))</f>
        <v>0</v>
      </c>
      <c r="AD353">
        <f>OR(AND(IF(metadata!J353="",FALSE,TRUE),OR(exact(metadata!J353,"not applicable"),exact(metadata!J353,"missing: not collected"),exact(metadata!J353,"missing: not provided"),exact(metadata!J353,"missing: restricted access"))),AND(IF(metadata!J353="",FALSE,ISNUMBER(VALUE(metadata!J353))),metadata!J353&gt;0))</f>
        <v>0</v>
      </c>
      <c r="AE353">
        <f>AND(IF(metadata!K353="",FALSE,TRUE),exact(metadata!K353,"g"))</f>
        <v>0</v>
      </c>
    </row>
    <row r="354" spans="1:31">
      <c r="A354" s="5">
        <f>IF(B354=" "," ",HYPERLINK(CONCATENATE("#metadata!",ADDRESS(INDEX($Q$2:$Q$1001,MATCH(ROWS($O$2:O354),$O$2:$O$1001,0),0),1)),INDEX($T$2:$T$1001,MATCH(ROWS($O$2:O354),$O$2:$O$1001,0),0)))</f>
        <v>0</v>
      </c>
      <c r="B354" s="4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4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4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4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4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4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4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4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4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4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OR(AND(IF(metadata!C354="",FALSE,TRUE),OR(exact(metadata!C354,"not applicable"),exact(metadata!C354,"missing: not collected"),exact(metadata!C354,"missing: not provided"),exact(metadata!C354,"missing: restricted access"))),AND(IF(metadata!C354="",FALSE,ISNUMBER(VALUE(metadata!C354))),metadata!C354&gt;0))</f>
        <v>0</v>
      </c>
      <c r="X354">
        <f>AND(IF(metadata!D354="",FALSE,TRUE),exact(metadata!D354,"weeks"))</f>
        <v>0</v>
      </c>
      <c r="Y354">
        <f>AND(IF(metadata!E354="",FALSE,TRUE),exact(metadata!E354,"urban biome"))</f>
        <v>0</v>
      </c>
      <c r="Z354">
        <f>AND(IF(metadata!F354="",FALSE,TRUE),exact(metadata!F354,"animal-associated habitat"))</f>
        <v>0</v>
      </c>
      <c r="AA354">
        <f>AND(IF(metadata!G354="",FALSE,TRUE),exact(metadata!G354,"mouse"))</f>
        <v>0</v>
      </c>
      <c r="AB354">
        <f>AND(IF(metadata!H354="",FALSE,TRUE),exact(metadata!H354,"Mus musculus"))</f>
        <v>0</v>
      </c>
      <c r="AC354">
        <f>AND(IF(metadata!I354="",FALSE,TRUE),exact(metadata!I354,"10090"))</f>
        <v>0</v>
      </c>
      <c r="AD354">
        <f>OR(AND(IF(metadata!J354="",FALSE,TRUE),OR(exact(metadata!J354,"not applicable"),exact(metadata!J354,"missing: not collected"),exact(metadata!J354,"missing: not provided"),exact(metadata!J354,"missing: restricted access"))),AND(IF(metadata!J354="",FALSE,ISNUMBER(VALUE(metadata!J354))),metadata!J354&gt;0))</f>
        <v>0</v>
      </c>
      <c r="AE354">
        <f>AND(IF(metadata!K354="",FALSE,TRUE),exact(metadata!K354,"g"))</f>
        <v>0</v>
      </c>
    </row>
    <row r="355" spans="1:31">
      <c r="A355" s="5">
        <f>IF(B355=" "," ",HYPERLINK(CONCATENATE("#metadata!",ADDRESS(INDEX($Q$2:$Q$1001,MATCH(ROWS($O$2:O355),$O$2:$O$1001,0),0),1)),INDEX($T$2:$T$1001,MATCH(ROWS($O$2:O355),$O$2:$O$1001,0),0)))</f>
        <v>0</v>
      </c>
      <c r="B355" s="4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4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4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4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4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4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4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4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4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4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OR(AND(IF(metadata!C355="",FALSE,TRUE),OR(exact(metadata!C355,"not applicable"),exact(metadata!C355,"missing: not collected"),exact(metadata!C355,"missing: not provided"),exact(metadata!C355,"missing: restricted access"))),AND(IF(metadata!C355="",FALSE,ISNUMBER(VALUE(metadata!C355))),metadata!C355&gt;0))</f>
        <v>0</v>
      </c>
      <c r="X355">
        <f>AND(IF(metadata!D355="",FALSE,TRUE),exact(metadata!D355,"weeks"))</f>
        <v>0</v>
      </c>
      <c r="Y355">
        <f>AND(IF(metadata!E355="",FALSE,TRUE),exact(metadata!E355,"urban biome"))</f>
        <v>0</v>
      </c>
      <c r="Z355">
        <f>AND(IF(metadata!F355="",FALSE,TRUE),exact(metadata!F355,"animal-associated habitat"))</f>
        <v>0</v>
      </c>
      <c r="AA355">
        <f>AND(IF(metadata!G355="",FALSE,TRUE),exact(metadata!G355,"mouse"))</f>
        <v>0</v>
      </c>
      <c r="AB355">
        <f>AND(IF(metadata!H355="",FALSE,TRUE),exact(metadata!H355,"Mus musculus"))</f>
        <v>0</v>
      </c>
      <c r="AC355">
        <f>AND(IF(metadata!I355="",FALSE,TRUE),exact(metadata!I355,"10090"))</f>
        <v>0</v>
      </c>
      <c r="AD355">
        <f>OR(AND(IF(metadata!J355="",FALSE,TRUE),OR(exact(metadata!J355,"not applicable"),exact(metadata!J355,"missing: not collected"),exact(metadata!J355,"missing: not provided"),exact(metadata!J355,"missing: restricted access"))),AND(IF(metadata!J355="",FALSE,ISNUMBER(VALUE(metadata!J355))),metadata!J355&gt;0))</f>
        <v>0</v>
      </c>
      <c r="AE355">
        <f>AND(IF(metadata!K355="",FALSE,TRUE),exact(metadata!K355,"g"))</f>
        <v>0</v>
      </c>
    </row>
    <row r="356" spans="1:31">
      <c r="A356" s="5">
        <f>IF(B356=" "," ",HYPERLINK(CONCATENATE("#metadata!",ADDRESS(INDEX($Q$2:$Q$1001,MATCH(ROWS($O$2:O356),$O$2:$O$1001,0),0),1)),INDEX($T$2:$T$1001,MATCH(ROWS($O$2:O356),$O$2:$O$1001,0),0)))</f>
        <v>0</v>
      </c>
      <c r="B356" s="4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4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4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4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4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4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4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4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4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4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OR(AND(IF(metadata!C356="",FALSE,TRUE),OR(exact(metadata!C356,"not applicable"),exact(metadata!C356,"missing: not collected"),exact(metadata!C356,"missing: not provided"),exact(metadata!C356,"missing: restricted access"))),AND(IF(metadata!C356="",FALSE,ISNUMBER(VALUE(metadata!C356))),metadata!C356&gt;0))</f>
        <v>0</v>
      </c>
      <c r="X356">
        <f>AND(IF(metadata!D356="",FALSE,TRUE),exact(metadata!D356,"weeks"))</f>
        <v>0</v>
      </c>
      <c r="Y356">
        <f>AND(IF(metadata!E356="",FALSE,TRUE),exact(metadata!E356,"urban biome"))</f>
        <v>0</v>
      </c>
      <c r="Z356">
        <f>AND(IF(metadata!F356="",FALSE,TRUE),exact(metadata!F356,"animal-associated habitat"))</f>
        <v>0</v>
      </c>
      <c r="AA356">
        <f>AND(IF(metadata!G356="",FALSE,TRUE),exact(metadata!G356,"mouse"))</f>
        <v>0</v>
      </c>
      <c r="AB356">
        <f>AND(IF(metadata!H356="",FALSE,TRUE),exact(metadata!H356,"Mus musculus"))</f>
        <v>0</v>
      </c>
      <c r="AC356">
        <f>AND(IF(metadata!I356="",FALSE,TRUE),exact(metadata!I356,"10090"))</f>
        <v>0</v>
      </c>
      <c r="AD356">
        <f>OR(AND(IF(metadata!J356="",FALSE,TRUE),OR(exact(metadata!J356,"not applicable"),exact(metadata!J356,"missing: not collected"),exact(metadata!J356,"missing: not provided"),exact(metadata!J356,"missing: restricted access"))),AND(IF(metadata!J356="",FALSE,ISNUMBER(VALUE(metadata!J356))),metadata!J356&gt;0))</f>
        <v>0</v>
      </c>
      <c r="AE356">
        <f>AND(IF(metadata!K356="",FALSE,TRUE),exact(metadata!K356,"g"))</f>
        <v>0</v>
      </c>
    </row>
    <row r="357" spans="1:31">
      <c r="A357" s="5">
        <f>IF(B357=" "," ",HYPERLINK(CONCATENATE("#metadata!",ADDRESS(INDEX($Q$2:$Q$1001,MATCH(ROWS($O$2:O357),$O$2:$O$1001,0),0),1)),INDEX($T$2:$T$1001,MATCH(ROWS($O$2:O357),$O$2:$O$1001,0),0)))</f>
        <v>0</v>
      </c>
      <c r="B357" s="4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4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4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4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4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4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4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4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4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4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OR(AND(IF(metadata!C357="",FALSE,TRUE),OR(exact(metadata!C357,"not applicable"),exact(metadata!C357,"missing: not collected"),exact(metadata!C357,"missing: not provided"),exact(metadata!C357,"missing: restricted access"))),AND(IF(metadata!C357="",FALSE,ISNUMBER(VALUE(metadata!C357))),metadata!C357&gt;0))</f>
        <v>0</v>
      </c>
      <c r="X357">
        <f>AND(IF(metadata!D357="",FALSE,TRUE),exact(metadata!D357,"weeks"))</f>
        <v>0</v>
      </c>
      <c r="Y357">
        <f>AND(IF(metadata!E357="",FALSE,TRUE),exact(metadata!E357,"urban biome"))</f>
        <v>0</v>
      </c>
      <c r="Z357">
        <f>AND(IF(metadata!F357="",FALSE,TRUE),exact(metadata!F357,"animal-associated habitat"))</f>
        <v>0</v>
      </c>
      <c r="AA357">
        <f>AND(IF(metadata!G357="",FALSE,TRUE),exact(metadata!G357,"mouse"))</f>
        <v>0</v>
      </c>
      <c r="AB357">
        <f>AND(IF(metadata!H357="",FALSE,TRUE),exact(metadata!H357,"Mus musculus"))</f>
        <v>0</v>
      </c>
      <c r="AC357">
        <f>AND(IF(metadata!I357="",FALSE,TRUE),exact(metadata!I357,"10090"))</f>
        <v>0</v>
      </c>
      <c r="AD357">
        <f>OR(AND(IF(metadata!J357="",FALSE,TRUE),OR(exact(metadata!J357,"not applicable"),exact(metadata!J357,"missing: not collected"),exact(metadata!J357,"missing: not provided"),exact(metadata!J357,"missing: restricted access"))),AND(IF(metadata!J357="",FALSE,ISNUMBER(VALUE(metadata!J357))),metadata!J357&gt;0))</f>
        <v>0</v>
      </c>
      <c r="AE357">
        <f>AND(IF(metadata!K357="",FALSE,TRUE),exact(metadata!K357,"g"))</f>
        <v>0</v>
      </c>
    </row>
    <row r="358" spans="1:31">
      <c r="A358" s="5">
        <f>IF(B358=" "," ",HYPERLINK(CONCATENATE("#metadata!",ADDRESS(INDEX($Q$2:$Q$1001,MATCH(ROWS($O$2:O358),$O$2:$O$1001,0),0),1)),INDEX($T$2:$T$1001,MATCH(ROWS($O$2:O358),$O$2:$O$1001,0),0)))</f>
        <v>0</v>
      </c>
      <c r="B358" s="4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4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4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4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4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4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4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4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4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4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OR(AND(IF(metadata!C358="",FALSE,TRUE),OR(exact(metadata!C358,"not applicable"),exact(metadata!C358,"missing: not collected"),exact(metadata!C358,"missing: not provided"),exact(metadata!C358,"missing: restricted access"))),AND(IF(metadata!C358="",FALSE,ISNUMBER(VALUE(metadata!C358))),metadata!C358&gt;0))</f>
        <v>0</v>
      </c>
      <c r="X358">
        <f>AND(IF(metadata!D358="",FALSE,TRUE),exact(metadata!D358,"weeks"))</f>
        <v>0</v>
      </c>
      <c r="Y358">
        <f>AND(IF(metadata!E358="",FALSE,TRUE),exact(metadata!E358,"urban biome"))</f>
        <v>0</v>
      </c>
      <c r="Z358">
        <f>AND(IF(metadata!F358="",FALSE,TRUE),exact(metadata!F358,"animal-associated habitat"))</f>
        <v>0</v>
      </c>
      <c r="AA358">
        <f>AND(IF(metadata!G358="",FALSE,TRUE),exact(metadata!G358,"mouse"))</f>
        <v>0</v>
      </c>
      <c r="AB358">
        <f>AND(IF(metadata!H358="",FALSE,TRUE),exact(metadata!H358,"Mus musculus"))</f>
        <v>0</v>
      </c>
      <c r="AC358">
        <f>AND(IF(metadata!I358="",FALSE,TRUE),exact(metadata!I358,"10090"))</f>
        <v>0</v>
      </c>
      <c r="AD358">
        <f>OR(AND(IF(metadata!J358="",FALSE,TRUE),OR(exact(metadata!J358,"not applicable"),exact(metadata!J358,"missing: not collected"),exact(metadata!J358,"missing: not provided"),exact(metadata!J358,"missing: restricted access"))),AND(IF(metadata!J358="",FALSE,ISNUMBER(VALUE(metadata!J358))),metadata!J358&gt;0))</f>
        <v>0</v>
      </c>
      <c r="AE358">
        <f>AND(IF(metadata!K358="",FALSE,TRUE),exact(metadata!K358,"g"))</f>
        <v>0</v>
      </c>
    </row>
    <row r="359" spans="1:31">
      <c r="A359" s="5">
        <f>IF(B359=" "," ",HYPERLINK(CONCATENATE("#metadata!",ADDRESS(INDEX($Q$2:$Q$1001,MATCH(ROWS($O$2:O359),$O$2:$O$1001,0),0),1)),INDEX($T$2:$T$1001,MATCH(ROWS($O$2:O359),$O$2:$O$1001,0),0)))</f>
        <v>0</v>
      </c>
      <c r="B359" s="4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4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4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4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4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4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4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4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4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4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OR(AND(IF(metadata!C359="",FALSE,TRUE),OR(exact(metadata!C359,"not applicable"),exact(metadata!C359,"missing: not collected"),exact(metadata!C359,"missing: not provided"),exact(metadata!C359,"missing: restricted access"))),AND(IF(metadata!C359="",FALSE,ISNUMBER(VALUE(metadata!C359))),metadata!C359&gt;0))</f>
        <v>0</v>
      </c>
      <c r="X359">
        <f>AND(IF(metadata!D359="",FALSE,TRUE),exact(metadata!D359,"weeks"))</f>
        <v>0</v>
      </c>
      <c r="Y359">
        <f>AND(IF(metadata!E359="",FALSE,TRUE),exact(metadata!E359,"urban biome"))</f>
        <v>0</v>
      </c>
      <c r="Z359">
        <f>AND(IF(metadata!F359="",FALSE,TRUE),exact(metadata!F359,"animal-associated habitat"))</f>
        <v>0</v>
      </c>
      <c r="AA359">
        <f>AND(IF(metadata!G359="",FALSE,TRUE),exact(metadata!G359,"mouse"))</f>
        <v>0</v>
      </c>
      <c r="AB359">
        <f>AND(IF(metadata!H359="",FALSE,TRUE),exact(metadata!H359,"Mus musculus"))</f>
        <v>0</v>
      </c>
      <c r="AC359">
        <f>AND(IF(metadata!I359="",FALSE,TRUE),exact(metadata!I359,"10090"))</f>
        <v>0</v>
      </c>
      <c r="AD359">
        <f>OR(AND(IF(metadata!J359="",FALSE,TRUE),OR(exact(metadata!J359,"not applicable"),exact(metadata!J359,"missing: not collected"),exact(metadata!J359,"missing: not provided"),exact(metadata!J359,"missing: restricted access"))),AND(IF(metadata!J359="",FALSE,ISNUMBER(VALUE(metadata!J359))),metadata!J359&gt;0))</f>
        <v>0</v>
      </c>
      <c r="AE359">
        <f>AND(IF(metadata!K359="",FALSE,TRUE),exact(metadata!K359,"g"))</f>
        <v>0</v>
      </c>
    </row>
    <row r="360" spans="1:31">
      <c r="A360" s="5">
        <f>IF(B360=" "," ",HYPERLINK(CONCATENATE("#metadata!",ADDRESS(INDEX($Q$2:$Q$1001,MATCH(ROWS($O$2:O360),$O$2:$O$1001,0),0),1)),INDEX($T$2:$T$1001,MATCH(ROWS($O$2:O360),$O$2:$O$1001,0),0)))</f>
        <v>0</v>
      </c>
      <c r="B360" s="4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4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4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4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4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4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4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4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4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4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OR(AND(IF(metadata!C360="",FALSE,TRUE),OR(exact(metadata!C360,"not applicable"),exact(metadata!C360,"missing: not collected"),exact(metadata!C360,"missing: not provided"),exact(metadata!C360,"missing: restricted access"))),AND(IF(metadata!C360="",FALSE,ISNUMBER(VALUE(metadata!C360))),metadata!C360&gt;0))</f>
        <v>0</v>
      </c>
      <c r="X360">
        <f>AND(IF(metadata!D360="",FALSE,TRUE),exact(metadata!D360,"weeks"))</f>
        <v>0</v>
      </c>
      <c r="Y360">
        <f>AND(IF(metadata!E360="",FALSE,TRUE),exact(metadata!E360,"urban biome"))</f>
        <v>0</v>
      </c>
      <c r="Z360">
        <f>AND(IF(metadata!F360="",FALSE,TRUE),exact(metadata!F360,"animal-associated habitat"))</f>
        <v>0</v>
      </c>
      <c r="AA360">
        <f>AND(IF(metadata!G360="",FALSE,TRUE),exact(metadata!G360,"mouse"))</f>
        <v>0</v>
      </c>
      <c r="AB360">
        <f>AND(IF(metadata!H360="",FALSE,TRUE),exact(metadata!H360,"Mus musculus"))</f>
        <v>0</v>
      </c>
      <c r="AC360">
        <f>AND(IF(metadata!I360="",FALSE,TRUE),exact(metadata!I360,"10090"))</f>
        <v>0</v>
      </c>
      <c r="AD360">
        <f>OR(AND(IF(metadata!J360="",FALSE,TRUE),OR(exact(metadata!J360,"not applicable"),exact(metadata!J360,"missing: not collected"),exact(metadata!J360,"missing: not provided"),exact(metadata!J360,"missing: restricted access"))),AND(IF(metadata!J360="",FALSE,ISNUMBER(VALUE(metadata!J360))),metadata!J360&gt;0))</f>
        <v>0</v>
      </c>
      <c r="AE360">
        <f>AND(IF(metadata!K360="",FALSE,TRUE),exact(metadata!K360,"g"))</f>
        <v>0</v>
      </c>
    </row>
    <row r="361" spans="1:31">
      <c r="A361" s="5">
        <f>IF(B361=" "," ",HYPERLINK(CONCATENATE("#metadata!",ADDRESS(INDEX($Q$2:$Q$1001,MATCH(ROWS($O$2:O361),$O$2:$O$1001,0),0),1)),INDEX($T$2:$T$1001,MATCH(ROWS($O$2:O361),$O$2:$O$1001,0),0)))</f>
        <v>0</v>
      </c>
      <c r="B361" s="4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4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4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4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4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4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4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4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4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4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OR(AND(IF(metadata!C361="",FALSE,TRUE),OR(exact(metadata!C361,"not applicable"),exact(metadata!C361,"missing: not collected"),exact(metadata!C361,"missing: not provided"),exact(metadata!C361,"missing: restricted access"))),AND(IF(metadata!C361="",FALSE,ISNUMBER(VALUE(metadata!C361))),metadata!C361&gt;0))</f>
        <v>0</v>
      </c>
      <c r="X361">
        <f>AND(IF(metadata!D361="",FALSE,TRUE),exact(metadata!D361,"weeks"))</f>
        <v>0</v>
      </c>
      <c r="Y361">
        <f>AND(IF(metadata!E361="",FALSE,TRUE),exact(metadata!E361,"urban biome"))</f>
        <v>0</v>
      </c>
      <c r="Z361">
        <f>AND(IF(metadata!F361="",FALSE,TRUE),exact(metadata!F361,"animal-associated habitat"))</f>
        <v>0</v>
      </c>
      <c r="AA361">
        <f>AND(IF(metadata!G361="",FALSE,TRUE),exact(metadata!G361,"mouse"))</f>
        <v>0</v>
      </c>
      <c r="AB361">
        <f>AND(IF(metadata!H361="",FALSE,TRUE),exact(metadata!H361,"Mus musculus"))</f>
        <v>0</v>
      </c>
      <c r="AC361">
        <f>AND(IF(metadata!I361="",FALSE,TRUE),exact(metadata!I361,"10090"))</f>
        <v>0</v>
      </c>
      <c r="AD361">
        <f>OR(AND(IF(metadata!J361="",FALSE,TRUE),OR(exact(metadata!J361,"not applicable"),exact(metadata!J361,"missing: not collected"),exact(metadata!J361,"missing: not provided"),exact(metadata!J361,"missing: restricted access"))),AND(IF(metadata!J361="",FALSE,ISNUMBER(VALUE(metadata!J361))),metadata!J361&gt;0))</f>
        <v>0</v>
      </c>
      <c r="AE361">
        <f>AND(IF(metadata!K361="",FALSE,TRUE),exact(metadata!K361,"g"))</f>
        <v>0</v>
      </c>
    </row>
    <row r="362" spans="1:31">
      <c r="A362" s="5">
        <f>IF(B362=" "," ",HYPERLINK(CONCATENATE("#metadata!",ADDRESS(INDEX($Q$2:$Q$1001,MATCH(ROWS($O$2:O362),$O$2:$O$1001,0),0),1)),INDEX($T$2:$T$1001,MATCH(ROWS($O$2:O362),$O$2:$O$1001,0),0)))</f>
        <v>0</v>
      </c>
      <c r="B362" s="4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4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4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4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4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4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4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4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4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4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OR(AND(IF(metadata!C362="",FALSE,TRUE),OR(exact(metadata!C362,"not applicable"),exact(metadata!C362,"missing: not collected"),exact(metadata!C362,"missing: not provided"),exact(metadata!C362,"missing: restricted access"))),AND(IF(metadata!C362="",FALSE,ISNUMBER(VALUE(metadata!C362))),metadata!C362&gt;0))</f>
        <v>0</v>
      </c>
      <c r="X362">
        <f>AND(IF(metadata!D362="",FALSE,TRUE),exact(metadata!D362,"weeks"))</f>
        <v>0</v>
      </c>
      <c r="Y362">
        <f>AND(IF(metadata!E362="",FALSE,TRUE),exact(metadata!E362,"urban biome"))</f>
        <v>0</v>
      </c>
      <c r="Z362">
        <f>AND(IF(metadata!F362="",FALSE,TRUE),exact(metadata!F362,"animal-associated habitat"))</f>
        <v>0</v>
      </c>
      <c r="AA362">
        <f>AND(IF(metadata!G362="",FALSE,TRUE),exact(metadata!G362,"mouse"))</f>
        <v>0</v>
      </c>
      <c r="AB362">
        <f>AND(IF(metadata!H362="",FALSE,TRUE),exact(metadata!H362,"Mus musculus"))</f>
        <v>0</v>
      </c>
      <c r="AC362">
        <f>AND(IF(metadata!I362="",FALSE,TRUE),exact(metadata!I362,"10090"))</f>
        <v>0</v>
      </c>
      <c r="AD362">
        <f>OR(AND(IF(metadata!J362="",FALSE,TRUE),OR(exact(metadata!J362,"not applicable"),exact(metadata!J362,"missing: not collected"),exact(metadata!J362,"missing: not provided"),exact(metadata!J362,"missing: restricted access"))),AND(IF(metadata!J362="",FALSE,ISNUMBER(VALUE(metadata!J362))),metadata!J362&gt;0))</f>
        <v>0</v>
      </c>
      <c r="AE362">
        <f>AND(IF(metadata!K362="",FALSE,TRUE),exact(metadata!K362,"g"))</f>
        <v>0</v>
      </c>
    </row>
    <row r="363" spans="1:31">
      <c r="A363" s="5">
        <f>IF(B363=" "," ",HYPERLINK(CONCATENATE("#metadata!",ADDRESS(INDEX($Q$2:$Q$1001,MATCH(ROWS($O$2:O363),$O$2:$O$1001,0),0),1)),INDEX($T$2:$T$1001,MATCH(ROWS($O$2:O363),$O$2:$O$1001,0),0)))</f>
        <v>0</v>
      </c>
      <c r="B363" s="4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4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4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4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4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4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4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4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4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4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OR(AND(IF(metadata!C363="",FALSE,TRUE),OR(exact(metadata!C363,"not applicable"),exact(metadata!C363,"missing: not collected"),exact(metadata!C363,"missing: not provided"),exact(metadata!C363,"missing: restricted access"))),AND(IF(metadata!C363="",FALSE,ISNUMBER(VALUE(metadata!C363))),metadata!C363&gt;0))</f>
        <v>0</v>
      </c>
      <c r="X363">
        <f>AND(IF(metadata!D363="",FALSE,TRUE),exact(metadata!D363,"weeks"))</f>
        <v>0</v>
      </c>
      <c r="Y363">
        <f>AND(IF(metadata!E363="",FALSE,TRUE),exact(metadata!E363,"urban biome"))</f>
        <v>0</v>
      </c>
      <c r="Z363">
        <f>AND(IF(metadata!F363="",FALSE,TRUE),exact(metadata!F363,"animal-associated habitat"))</f>
        <v>0</v>
      </c>
      <c r="AA363">
        <f>AND(IF(metadata!G363="",FALSE,TRUE),exact(metadata!G363,"mouse"))</f>
        <v>0</v>
      </c>
      <c r="AB363">
        <f>AND(IF(metadata!H363="",FALSE,TRUE),exact(metadata!H363,"Mus musculus"))</f>
        <v>0</v>
      </c>
      <c r="AC363">
        <f>AND(IF(metadata!I363="",FALSE,TRUE),exact(metadata!I363,"10090"))</f>
        <v>0</v>
      </c>
      <c r="AD363">
        <f>OR(AND(IF(metadata!J363="",FALSE,TRUE),OR(exact(metadata!J363,"not applicable"),exact(metadata!J363,"missing: not collected"),exact(metadata!J363,"missing: not provided"),exact(metadata!J363,"missing: restricted access"))),AND(IF(metadata!J363="",FALSE,ISNUMBER(VALUE(metadata!J363))),metadata!J363&gt;0))</f>
        <v>0</v>
      </c>
      <c r="AE363">
        <f>AND(IF(metadata!K363="",FALSE,TRUE),exact(metadata!K363,"g"))</f>
        <v>0</v>
      </c>
    </row>
    <row r="364" spans="1:31">
      <c r="A364" s="5">
        <f>IF(B364=" "," ",HYPERLINK(CONCATENATE("#metadata!",ADDRESS(INDEX($Q$2:$Q$1001,MATCH(ROWS($O$2:O364),$O$2:$O$1001,0),0),1)),INDEX($T$2:$T$1001,MATCH(ROWS($O$2:O364),$O$2:$O$1001,0),0)))</f>
        <v>0</v>
      </c>
      <c r="B364" s="4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4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4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4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4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4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4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4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4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4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OR(AND(IF(metadata!C364="",FALSE,TRUE),OR(exact(metadata!C364,"not applicable"),exact(metadata!C364,"missing: not collected"),exact(metadata!C364,"missing: not provided"),exact(metadata!C364,"missing: restricted access"))),AND(IF(metadata!C364="",FALSE,ISNUMBER(VALUE(metadata!C364))),metadata!C364&gt;0))</f>
        <v>0</v>
      </c>
      <c r="X364">
        <f>AND(IF(metadata!D364="",FALSE,TRUE),exact(metadata!D364,"weeks"))</f>
        <v>0</v>
      </c>
      <c r="Y364">
        <f>AND(IF(metadata!E364="",FALSE,TRUE),exact(metadata!E364,"urban biome"))</f>
        <v>0</v>
      </c>
      <c r="Z364">
        <f>AND(IF(metadata!F364="",FALSE,TRUE),exact(metadata!F364,"animal-associated habitat"))</f>
        <v>0</v>
      </c>
      <c r="AA364">
        <f>AND(IF(metadata!G364="",FALSE,TRUE),exact(metadata!G364,"mouse"))</f>
        <v>0</v>
      </c>
      <c r="AB364">
        <f>AND(IF(metadata!H364="",FALSE,TRUE),exact(metadata!H364,"Mus musculus"))</f>
        <v>0</v>
      </c>
      <c r="AC364">
        <f>AND(IF(metadata!I364="",FALSE,TRUE),exact(metadata!I364,"10090"))</f>
        <v>0</v>
      </c>
      <c r="AD364">
        <f>OR(AND(IF(metadata!J364="",FALSE,TRUE),OR(exact(metadata!J364,"not applicable"),exact(metadata!J364,"missing: not collected"),exact(metadata!J364,"missing: not provided"),exact(metadata!J364,"missing: restricted access"))),AND(IF(metadata!J364="",FALSE,ISNUMBER(VALUE(metadata!J364))),metadata!J364&gt;0))</f>
        <v>0</v>
      </c>
      <c r="AE364">
        <f>AND(IF(metadata!K364="",FALSE,TRUE),exact(metadata!K364,"g"))</f>
        <v>0</v>
      </c>
    </row>
    <row r="365" spans="1:31">
      <c r="A365" s="5">
        <f>IF(B365=" "," ",HYPERLINK(CONCATENATE("#metadata!",ADDRESS(INDEX($Q$2:$Q$1001,MATCH(ROWS($O$2:O365),$O$2:$O$1001,0),0),1)),INDEX($T$2:$T$1001,MATCH(ROWS($O$2:O365),$O$2:$O$1001,0),0)))</f>
        <v>0</v>
      </c>
      <c r="B365" s="4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4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4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4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4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4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4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4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4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4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OR(AND(IF(metadata!C365="",FALSE,TRUE),OR(exact(metadata!C365,"not applicable"),exact(metadata!C365,"missing: not collected"),exact(metadata!C365,"missing: not provided"),exact(metadata!C365,"missing: restricted access"))),AND(IF(metadata!C365="",FALSE,ISNUMBER(VALUE(metadata!C365))),metadata!C365&gt;0))</f>
        <v>0</v>
      </c>
      <c r="X365">
        <f>AND(IF(metadata!D365="",FALSE,TRUE),exact(metadata!D365,"weeks"))</f>
        <v>0</v>
      </c>
      <c r="Y365">
        <f>AND(IF(metadata!E365="",FALSE,TRUE),exact(metadata!E365,"urban biome"))</f>
        <v>0</v>
      </c>
      <c r="Z365">
        <f>AND(IF(metadata!F365="",FALSE,TRUE),exact(metadata!F365,"animal-associated habitat"))</f>
        <v>0</v>
      </c>
      <c r="AA365">
        <f>AND(IF(metadata!G365="",FALSE,TRUE),exact(metadata!G365,"mouse"))</f>
        <v>0</v>
      </c>
      <c r="AB365">
        <f>AND(IF(metadata!H365="",FALSE,TRUE),exact(metadata!H365,"Mus musculus"))</f>
        <v>0</v>
      </c>
      <c r="AC365">
        <f>AND(IF(metadata!I365="",FALSE,TRUE),exact(metadata!I365,"10090"))</f>
        <v>0</v>
      </c>
      <c r="AD365">
        <f>OR(AND(IF(metadata!J365="",FALSE,TRUE),OR(exact(metadata!J365,"not applicable"),exact(metadata!J365,"missing: not collected"),exact(metadata!J365,"missing: not provided"),exact(metadata!J365,"missing: restricted access"))),AND(IF(metadata!J365="",FALSE,ISNUMBER(VALUE(metadata!J365))),metadata!J365&gt;0))</f>
        <v>0</v>
      </c>
      <c r="AE365">
        <f>AND(IF(metadata!K365="",FALSE,TRUE),exact(metadata!K365,"g"))</f>
        <v>0</v>
      </c>
    </row>
    <row r="366" spans="1:31">
      <c r="A366" s="5">
        <f>IF(B366=" "," ",HYPERLINK(CONCATENATE("#metadata!",ADDRESS(INDEX($Q$2:$Q$1001,MATCH(ROWS($O$2:O366),$O$2:$O$1001,0),0),1)),INDEX($T$2:$T$1001,MATCH(ROWS($O$2:O366),$O$2:$O$1001,0),0)))</f>
        <v>0</v>
      </c>
      <c r="B366" s="4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4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4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4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4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4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4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4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4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4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OR(AND(IF(metadata!C366="",FALSE,TRUE),OR(exact(metadata!C366,"not applicable"),exact(metadata!C366,"missing: not collected"),exact(metadata!C366,"missing: not provided"),exact(metadata!C366,"missing: restricted access"))),AND(IF(metadata!C366="",FALSE,ISNUMBER(VALUE(metadata!C366))),metadata!C366&gt;0))</f>
        <v>0</v>
      </c>
      <c r="X366">
        <f>AND(IF(metadata!D366="",FALSE,TRUE),exact(metadata!D366,"weeks"))</f>
        <v>0</v>
      </c>
      <c r="Y366">
        <f>AND(IF(metadata!E366="",FALSE,TRUE),exact(metadata!E366,"urban biome"))</f>
        <v>0</v>
      </c>
      <c r="Z366">
        <f>AND(IF(metadata!F366="",FALSE,TRUE),exact(metadata!F366,"animal-associated habitat"))</f>
        <v>0</v>
      </c>
      <c r="AA366">
        <f>AND(IF(metadata!G366="",FALSE,TRUE),exact(metadata!G366,"mouse"))</f>
        <v>0</v>
      </c>
      <c r="AB366">
        <f>AND(IF(metadata!H366="",FALSE,TRUE),exact(metadata!H366,"Mus musculus"))</f>
        <v>0</v>
      </c>
      <c r="AC366">
        <f>AND(IF(metadata!I366="",FALSE,TRUE),exact(metadata!I366,"10090"))</f>
        <v>0</v>
      </c>
      <c r="AD366">
        <f>OR(AND(IF(metadata!J366="",FALSE,TRUE),OR(exact(metadata!J366,"not applicable"),exact(metadata!J366,"missing: not collected"),exact(metadata!J366,"missing: not provided"),exact(metadata!J366,"missing: restricted access"))),AND(IF(metadata!J366="",FALSE,ISNUMBER(VALUE(metadata!J366))),metadata!J366&gt;0))</f>
        <v>0</v>
      </c>
      <c r="AE366">
        <f>AND(IF(metadata!K366="",FALSE,TRUE),exact(metadata!K366,"g"))</f>
        <v>0</v>
      </c>
    </row>
    <row r="367" spans="1:31">
      <c r="A367" s="5">
        <f>IF(B367=" "," ",HYPERLINK(CONCATENATE("#metadata!",ADDRESS(INDEX($Q$2:$Q$1001,MATCH(ROWS($O$2:O367),$O$2:$O$1001,0),0),1)),INDEX($T$2:$T$1001,MATCH(ROWS($O$2:O367),$O$2:$O$1001,0),0)))</f>
        <v>0</v>
      </c>
      <c r="B367" s="4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4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4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4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4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4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4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4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4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4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OR(AND(IF(metadata!C367="",FALSE,TRUE),OR(exact(metadata!C367,"not applicable"),exact(metadata!C367,"missing: not collected"),exact(metadata!C367,"missing: not provided"),exact(metadata!C367,"missing: restricted access"))),AND(IF(metadata!C367="",FALSE,ISNUMBER(VALUE(metadata!C367))),metadata!C367&gt;0))</f>
        <v>0</v>
      </c>
      <c r="X367">
        <f>AND(IF(metadata!D367="",FALSE,TRUE),exact(metadata!D367,"weeks"))</f>
        <v>0</v>
      </c>
      <c r="Y367">
        <f>AND(IF(metadata!E367="",FALSE,TRUE),exact(metadata!E367,"urban biome"))</f>
        <v>0</v>
      </c>
      <c r="Z367">
        <f>AND(IF(metadata!F367="",FALSE,TRUE),exact(metadata!F367,"animal-associated habitat"))</f>
        <v>0</v>
      </c>
      <c r="AA367">
        <f>AND(IF(metadata!G367="",FALSE,TRUE),exact(metadata!G367,"mouse"))</f>
        <v>0</v>
      </c>
      <c r="AB367">
        <f>AND(IF(metadata!H367="",FALSE,TRUE),exact(metadata!H367,"Mus musculus"))</f>
        <v>0</v>
      </c>
      <c r="AC367">
        <f>AND(IF(metadata!I367="",FALSE,TRUE),exact(metadata!I367,"10090"))</f>
        <v>0</v>
      </c>
      <c r="AD367">
        <f>OR(AND(IF(metadata!J367="",FALSE,TRUE),OR(exact(metadata!J367,"not applicable"),exact(metadata!J367,"missing: not collected"),exact(metadata!J367,"missing: not provided"),exact(metadata!J367,"missing: restricted access"))),AND(IF(metadata!J367="",FALSE,ISNUMBER(VALUE(metadata!J367))),metadata!J367&gt;0))</f>
        <v>0</v>
      </c>
      <c r="AE367">
        <f>AND(IF(metadata!K367="",FALSE,TRUE),exact(metadata!K367,"g"))</f>
        <v>0</v>
      </c>
    </row>
    <row r="368" spans="1:31">
      <c r="A368" s="5">
        <f>IF(B368=" "," ",HYPERLINK(CONCATENATE("#metadata!",ADDRESS(INDEX($Q$2:$Q$1001,MATCH(ROWS($O$2:O368),$O$2:$O$1001,0),0),1)),INDEX($T$2:$T$1001,MATCH(ROWS($O$2:O368),$O$2:$O$1001,0),0)))</f>
        <v>0</v>
      </c>
      <c r="B368" s="4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4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4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4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4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4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4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4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4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4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OR(AND(IF(metadata!C368="",FALSE,TRUE),OR(exact(metadata!C368,"not applicable"),exact(metadata!C368,"missing: not collected"),exact(metadata!C368,"missing: not provided"),exact(metadata!C368,"missing: restricted access"))),AND(IF(metadata!C368="",FALSE,ISNUMBER(VALUE(metadata!C368))),metadata!C368&gt;0))</f>
        <v>0</v>
      </c>
      <c r="X368">
        <f>AND(IF(metadata!D368="",FALSE,TRUE),exact(metadata!D368,"weeks"))</f>
        <v>0</v>
      </c>
      <c r="Y368">
        <f>AND(IF(metadata!E368="",FALSE,TRUE),exact(metadata!E368,"urban biome"))</f>
        <v>0</v>
      </c>
      <c r="Z368">
        <f>AND(IF(metadata!F368="",FALSE,TRUE),exact(metadata!F368,"animal-associated habitat"))</f>
        <v>0</v>
      </c>
      <c r="AA368">
        <f>AND(IF(metadata!G368="",FALSE,TRUE),exact(metadata!G368,"mouse"))</f>
        <v>0</v>
      </c>
      <c r="AB368">
        <f>AND(IF(metadata!H368="",FALSE,TRUE),exact(metadata!H368,"Mus musculus"))</f>
        <v>0</v>
      </c>
      <c r="AC368">
        <f>AND(IF(metadata!I368="",FALSE,TRUE),exact(metadata!I368,"10090"))</f>
        <v>0</v>
      </c>
      <c r="AD368">
        <f>OR(AND(IF(metadata!J368="",FALSE,TRUE),OR(exact(metadata!J368,"not applicable"),exact(metadata!J368,"missing: not collected"),exact(metadata!J368,"missing: not provided"),exact(metadata!J368,"missing: restricted access"))),AND(IF(metadata!J368="",FALSE,ISNUMBER(VALUE(metadata!J368))),metadata!J368&gt;0))</f>
        <v>0</v>
      </c>
      <c r="AE368">
        <f>AND(IF(metadata!K368="",FALSE,TRUE),exact(metadata!K368,"g"))</f>
        <v>0</v>
      </c>
    </row>
    <row r="369" spans="1:31">
      <c r="A369" s="5">
        <f>IF(B369=" "," ",HYPERLINK(CONCATENATE("#metadata!",ADDRESS(INDEX($Q$2:$Q$1001,MATCH(ROWS($O$2:O369),$O$2:$O$1001,0),0),1)),INDEX($T$2:$T$1001,MATCH(ROWS($O$2:O369),$O$2:$O$1001,0),0)))</f>
        <v>0</v>
      </c>
      <c r="B369" s="4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4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4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4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4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4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4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4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4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4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OR(AND(IF(metadata!C369="",FALSE,TRUE),OR(exact(metadata!C369,"not applicable"),exact(metadata!C369,"missing: not collected"),exact(metadata!C369,"missing: not provided"),exact(metadata!C369,"missing: restricted access"))),AND(IF(metadata!C369="",FALSE,ISNUMBER(VALUE(metadata!C369))),metadata!C369&gt;0))</f>
        <v>0</v>
      </c>
      <c r="X369">
        <f>AND(IF(metadata!D369="",FALSE,TRUE),exact(metadata!D369,"weeks"))</f>
        <v>0</v>
      </c>
      <c r="Y369">
        <f>AND(IF(metadata!E369="",FALSE,TRUE),exact(metadata!E369,"urban biome"))</f>
        <v>0</v>
      </c>
      <c r="Z369">
        <f>AND(IF(metadata!F369="",FALSE,TRUE),exact(metadata!F369,"animal-associated habitat"))</f>
        <v>0</v>
      </c>
      <c r="AA369">
        <f>AND(IF(metadata!G369="",FALSE,TRUE),exact(metadata!G369,"mouse"))</f>
        <v>0</v>
      </c>
      <c r="AB369">
        <f>AND(IF(metadata!H369="",FALSE,TRUE),exact(metadata!H369,"Mus musculus"))</f>
        <v>0</v>
      </c>
      <c r="AC369">
        <f>AND(IF(metadata!I369="",FALSE,TRUE),exact(metadata!I369,"10090"))</f>
        <v>0</v>
      </c>
      <c r="AD369">
        <f>OR(AND(IF(metadata!J369="",FALSE,TRUE),OR(exact(metadata!J369,"not applicable"),exact(metadata!J369,"missing: not collected"),exact(metadata!J369,"missing: not provided"),exact(metadata!J369,"missing: restricted access"))),AND(IF(metadata!J369="",FALSE,ISNUMBER(VALUE(metadata!J369))),metadata!J369&gt;0))</f>
        <v>0</v>
      </c>
      <c r="AE369">
        <f>AND(IF(metadata!K369="",FALSE,TRUE),exact(metadata!K369,"g"))</f>
        <v>0</v>
      </c>
    </row>
    <row r="370" spans="1:31">
      <c r="A370" s="5">
        <f>IF(B370=" "," ",HYPERLINK(CONCATENATE("#metadata!",ADDRESS(INDEX($Q$2:$Q$1001,MATCH(ROWS($O$2:O370),$O$2:$O$1001,0),0),1)),INDEX($T$2:$T$1001,MATCH(ROWS($O$2:O370),$O$2:$O$1001,0),0)))</f>
        <v>0</v>
      </c>
      <c r="B370" s="4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4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4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4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4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4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4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4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4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4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OR(AND(IF(metadata!C370="",FALSE,TRUE),OR(exact(metadata!C370,"not applicable"),exact(metadata!C370,"missing: not collected"),exact(metadata!C370,"missing: not provided"),exact(metadata!C370,"missing: restricted access"))),AND(IF(metadata!C370="",FALSE,ISNUMBER(VALUE(metadata!C370))),metadata!C370&gt;0))</f>
        <v>0</v>
      </c>
      <c r="X370">
        <f>AND(IF(metadata!D370="",FALSE,TRUE),exact(metadata!D370,"weeks"))</f>
        <v>0</v>
      </c>
      <c r="Y370">
        <f>AND(IF(metadata!E370="",FALSE,TRUE),exact(metadata!E370,"urban biome"))</f>
        <v>0</v>
      </c>
      <c r="Z370">
        <f>AND(IF(metadata!F370="",FALSE,TRUE),exact(metadata!F370,"animal-associated habitat"))</f>
        <v>0</v>
      </c>
      <c r="AA370">
        <f>AND(IF(metadata!G370="",FALSE,TRUE),exact(metadata!G370,"mouse"))</f>
        <v>0</v>
      </c>
      <c r="AB370">
        <f>AND(IF(metadata!H370="",FALSE,TRUE),exact(metadata!H370,"Mus musculus"))</f>
        <v>0</v>
      </c>
      <c r="AC370">
        <f>AND(IF(metadata!I370="",FALSE,TRUE),exact(metadata!I370,"10090"))</f>
        <v>0</v>
      </c>
      <c r="AD370">
        <f>OR(AND(IF(metadata!J370="",FALSE,TRUE),OR(exact(metadata!J370,"not applicable"),exact(metadata!J370,"missing: not collected"),exact(metadata!J370,"missing: not provided"),exact(metadata!J370,"missing: restricted access"))),AND(IF(metadata!J370="",FALSE,ISNUMBER(VALUE(metadata!J370))),metadata!J370&gt;0))</f>
        <v>0</v>
      </c>
      <c r="AE370">
        <f>AND(IF(metadata!K370="",FALSE,TRUE),exact(metadata!K370,"g"))</f>
        <v>0</v>
      </c>
    </row>
    <row r="371" spans="1:31">
      <c r="A371" s="5">
        <f>IF(B371=" "," ",HYPERLINK(CONCATENATE("#metadata!",ADDRESS(INDEX($Q$2:$Q$1001,MATCH(ROWS($O$2:O371),$O$2:$O$1001,0),0),1)),INDEX($T$2:$T$1001,MATCH(ROWS($O$2:O371),$O$2:$O$1001,0),0)))</f>
        <v>0</v>
      </c>
      <c r="B371" s="4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4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4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4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4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4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4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4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4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4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OR(AND(IF(metadata!C371="",FALSE,TRUE),OR(exact(metadata!C371,"not applicable"),exact(metadata!C371,"missing: not collected"),exact(metadata!C371,"missing: not provided"),exact(metadata!C371,"missing: restricted access"))),AND(IF(metadata!C371="",FALSE,ISNUMBER(VALUE(metadata!C371))),metadata!C371&gt;0))</f>
        <v>0</v>
      </c>
      <c r="X371">
        <f>AND(IF(metadata!D371="",FALSE,TRUE),exact(metadata!D371,"weeks"))</f>
        <v>0</v>
      </c>
      <c r="Y371">
        <f>AND(IF(metadata!E371="",FALSE,TRUE),exact(metadata!E371,"urban biome"))</f>
        <v>0</v>
      </c>
      <c r="Z371">
        <f>AND(IF(metadata!F371="",FALSE,TRUE),exact(metadata!F371,"animal-associated habitat"))</f>
        <v>0</v>
      </c>
      <c r="AA371">
        <f>AND(IF(metadata!G371="",FALSE,TRUE),exact(metadata!G371,"mouse"))</f>
        <v>0</v>
      </c>
      <c r="AB371">
        <f>AND(IF(metadata!H371="",FALSE,TRUE),exact(metadata!H371,"Mus musculus"))</f>
        <v>0</v>
      </c>
      <c r="AC371">
        <f>AND(IF(metadata!I371="",FALSE,TRUE),exact(metadata!I371,"10090"))</f>
        <v>0</v>
      </c>
      <c r="AD371">
        <f>OR(AND(IF(metadata!J371="",FALSE,TRUE),OR(exact(metadata!J371,"not applicable"),exact(metadata!J371,"missing: not collected"),exact(metadata!J371,"missing: not provided"),exact(metadata!J371,"missing: restricted access"))),AND(IF(metadata!J371="",FALSE,ISNUMBER(VALUE(metadata!J371))),metadata!J371&gt;0))</f>
        <v>0</v>
      </c>
      <c r="AE371">
        <f>AND(IF(metadata!K371="",FALSE,TRUE),exact(metadata!K371,"g"))</f>
        <v>0</v>
      </c>
    </row>
    <row r="372" spans="1:31">
      <c r="A372" s="5">
        <f>IF(B372=" "," ",HYPERLINK(CONCATENATE("#metadata!",ADDRESS(INDEX($Q$2:$Q$1001,MATCH(ROWS($O$2:O372),$O$2:$O$1001,0),0),1)),INDEX($T$2:$T$1001,MATCH(ROWS($O$2:O372),$O$2:$O$1001,0),0)))</f>
        <v>0</v>
      </c>
      <c r="B372" s="4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4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4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4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4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4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4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4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4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4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OR(AND(IF(metadata!C372="",FALSE,TRUE),OR(exact(metadata!C372,"not applicable"),exact(metadata!C372,"missing: not collected"),exact(metadata!C372,"missing: not provided"),exact(metadata!C372,"missing: restricted access"))),AND(IF(metadata!C372="",FALSE,ISNUMBER(VALUE(metadata!C372))),metadata!C372&gt;0))</f>
        <v>0</v>
      </c>
      <c r="X372">
        <f>AND(IF(metadata!D372="",FALSE,TRUE),exact(metadata!D372,"weeks"))</f>
        <v>0</v>
      </c>
      <c r="Y372">
        <f>AND(IF(metadata!E372="",FALSE,TRUE),exact(metadata!E372,"urban biome"))</f>
        <v>0</v>
      </c>
      <c r="Z372">
        <f>AND(IF(metadata!F372="",FALSE,TRUE),exact(metadata!F372,"animal-associated habitat"))</f>
        <v>0</v>
      </c>
      <c r="AA372">
        <f>AND(IF(metadata!G372="",FALSE,TRUE),exact(metadata!G372,"mouse"))</f>
        <v>0</v>
      </c>
      <c r="AB372">
        <f>AND(IF(metadata!H372="",FALSE,TRUE),exact(metadata!H372,"Mus musculus"))</f>
        <v>0</v>
      </c>
      <c r="AC372">
        <f>AND(IF(metadata!I372="",FALSE,TRUE),exact(metadata!I372,"10090"))</f>
        <v>0</v>
      </c>
      <c r="AD372">
        <f>OR(AND(IF(metadata!J372="",FALSE,TRUE),OR(exact(metadata!J372,"not applicable"),exact(metadata!J372,"missing: not collected"),exact(metadata!J372,"missing: not provided"),exact(metadata!J372,"missing: restricted access"))),AND(IF(metadata!J372="",FALSE,ISNUMBER(VALUE(metadata!J372))),metadata!J372&gt;0))</f>
        <v>0</v>
      </c>
      <c r="AE372">
        <f>AND(IF(metadata!K372="",FALSE,TRUE),exact(metadata!K372,"g"))</f>
        <v>0</v>
      </c>
    </row>
    <row r="373" spans="1:31">
      <c r="A373" s="5">
        <f>IF(B373=" "," ",HYPERLINK(CONCATENATE("#metadata!",ADDRESS(INDEX($Q$2:$Q$1001,MATCH(ROWS($O$2:O373),$O$2:$O$1001,0),0),1)),INDEX($T$2:$T$1001,MATCH(ROWS($O$2:O373),$O$2:$O$1001,0),0)))</f>
        <v>0</v>
      </c>
      <c r="B373" s="4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4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4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4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4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4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4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4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4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4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OR(AND(IF(metadata!C373="",FALSE,TRUE),OR(exact(metadata!C373,"not applicable"),exact(metadata!C373,"missing: not collected"),exact(metadata!C373,"missing: not provided"),exact(metadata!C373,"missing: restricted access"))),AND(IF(metadata!C373="",FALSE,ISNUMBER(VALUE(metadata!C373))),metadata!C373&gt;0))</f>
        <v>0</v>
      </c>
      <c r="X373">
        <f>AND(IF(metadata!D373="",FALSE,TRUE),exact(metadata!D373,"weeks"))</f>
        <v>0</v>
      </c>
      <c r="Y373">
        <f>AND(IF(metadata!E373="",FALSE,TRUE),exact(metadata!E373,"urban biome"))</f>
        <v>0</v>
      </c>
      <c r="Z373">
        <f>AND(IF(metadata!F373="",FALSE,TRUE),exact(metadata!F373,"animal-associated habitat"))</f>
        <v>0</v>
      </c>
      <c r="AA373">
        <f>AND(IF(metadata!G373="",FALSE,TRUE),exact(metadata!G373,"mouse"))</f>
        <v>0</v>
      </c>
      <c r="AB373">
        <f>AND(IF(metadata!H373="",FALSE,TRUE),exact(metadata!H373,"Mus musculus"))</f>
        <v>0</v>
      </c>
      <c r="AC373">
        <f>AND(IF(metadata!I373="",FALSE,TRUE),exact(metadata!I373,"10090"))</f>
        <v>0</v>
      </c>
      <c r="AD373">
        <f>OR(AND(IF(metadata!J373="",FALSE,TRUE),OR(exact(metadata!J373,"not applicable"),exact(metadata!J373,"missing: not collected"),exact(metadata!J373,"missing: not provided"),exact(metadata!J373,"missing: restricted access"))),AND(IF(metadata!J373="",FALSE,ISNUMBER(VALUE(metadata!J373))),metadata!J373&gt;0))</f>
        <v>0</v>
      </c>
      <c r="AE373">
        <f>AND(IF(metadata!K373="",FALSE,TRUE),exact(metadata!K373,"g"))</f>
        <v>0</v>
      </c>
    </row>
    <row r="374" spans="1:31">
      <c r="A374" s="5">
        <f>IF(B374=" "," ",HYPERLINK(CONCATENATE("#metadata!",ADDRESS(INDEX($Q$2:$Q$1001,MATCH(ROWS($O$2:O374),$O$2:$O$1001,0),0),1)),INDEX($T$2:$T$1001,MATCH(ROWS($O$2:O374),$O$2:$O$1001,0),0)))</f>
        <v>0</v>
      </c>
      <c r="B374" s="4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4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4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4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4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4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4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4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4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4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OR(AND(IF(metadata!C374="",FALSE,TRUE),OR(exact(metadata!C374,"not applicable"),exact(metadata!C374,"missing: not collected"),exact(metadata!C374,"missing: not provided"),exact(metadata!C374,"missing: restricted access"))),AND(IF(metadata!C374="",FALSE,ISNUMBER(VALUE(metadata!C374))),metadata!C374&gt;0))</f>
        <v>0</v>
      </c>
      <c r="X374">
        <f>AND(IF(metadata!D374="",FALSE,TRUE),exact(metadata!D374,"weeks"))</f>
        <v>0</v>
      </c>
      <c r="Y374">
        <f>AND(IF(metadata!E374="",FALSE,TRUE),exact(metadata!E374,"urban biome"))</f>
        <v>0</v>
      </c>
      <c r="Z374">
        <f>AND(IF(metadata!F374="",FALSE,TRUE),exact(metadata!F374,"animal-associated habitat"))</f>
        <v>0</v>
      </c>
      <c r="AA374">
        <f>AND(IF(metadata!G374="",FALSE,TRUE),exact(metadata!G374,"mouse"))</f>
        <v>0</v>
      </c>
      <c r="AB374">
        <f>AND(IF(metadata!H374="",FALSE,TRUE),exact(metadata!H374,"Mus musculus"))</f>
        <v>0</v>
      </c>
      <c r="AC374">
        <f>AND(IF(metadata!I374="",FALSE,TRUE),exact(metadata!I374,"10090"))</f>
        <v>0</v>
      </c>
      <c r="AD374">
        <f>OR(AND(IF(metadata!J374="",FALSE,TRUE),OR(exact(metadata!J374,"not applicable"),exact(metadata!J374,"missing: not collected"),exact(metadata!J374,"missing: not provided"),exact(metadata!J374,"missing: restricted access"))),AND(IF(metadata!J374="",FALSE,ISNUMBER(VALUE(metadata!J374))),metadata!J374&gt;0))</f>
        <v>0</v>
      </c>
      <c r="AE374">
        <f>AND(IF(metadata!K374="",FALSE,TRUE),exact(metadata!K374,"g"))</f>
        <v>0</v>
      </c>
    </row>
    <row r="375" spans="1:31">
      <c r="A375" s="5">
        <f>IF(B375=" "," ",HYPERLINK(CONCATENATE("#metadata!",ADDRESS(INDEX($Q$2:$Q$1001,MATCH(ROWS($O$2:O375),$O$2:$O$1001,0),0),1)),INDEX($T$2:$T$1001,MATCH(ROWS($O$2:O375),$O$2:$O$1001,0),0)))</f>
        <v>0</v>
      </c>
      <c r="B375" s="4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4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4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4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4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4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4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4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4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4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OR(AND(IF(metadata!C375="",FALSE,TRUE),OR(exact(metadata!C375,"not applicable"),exact(metadata!C375,"missing: not collected"),exact(metadata!C375,"missing: not provided"),exact(metadata!C375,"missing: restricted access"))),AND(IF(metadata!C375="",FALSE,ISNUMBER(VALUE(metadata!C375))),metadata!C375&gt;0))</f>
        <v>0</v>
      </c>
      <c r="X375">
        <f>AND(IF(metadata!D375="",FALSE,TRUE),exact(metadata!D375,"weeks"))</f>
        <v>0</v>
      </c>
      <c r="Y375">
        <f>AND(IF(metadata!E375="",FALSE,TRUE),exact(metadata!E375,"urban biome"))</f>
        <v>0</v>
      </c>
      <c r="Z375">
        <f>AND(IF(metadata!F375="",FALSE,TRUE),exact(metadata!F375,"animal-associated habitat"))</f>
        <v>0</v>
      </c>
      <c r="AA375">
        <f>AND(IF(metadata!G375="",FALSE,TRUE),exact(metadata!G375,"mouse"))</f>
        <v>0</v>
      </c>
      <c r="AB375">
        <f>AND(IF(metadata!H375="",FALSE,TRUE),exact(metadata!H375,"Mus musculus"))</f>
        <v>0</v>
      </c>
      <c r="AC375">
        <f>AND(IF(metadata!I375="",FALSE,TRUE),exact(metadata!I375,"10090"))</f>
        <v>0</v>
      </c>
      <c r="AD375">
        <f>OR(AND(IF(metadata!J375="",FALSE,TRUE),OR(exact(metadata!J375,"not applicable"),exact(metadata!J375,"missing: not collected"),exact(metadata!J375,"missing: not provided"),exact(metadata!J375,"missing: restricted access"))),AND(IF(metadata!J375="",FALSE,ISNUMBER(VALUE(metadata!J375))),metadata!J375&gt;0))</f>
        <v>0</v>
      </c>
      <c r="AE375">
        <f>AND(IF(metadata!K375="",FALSE,TRUE),exact(metadata!K375,"g"))</f>
        <v>0</v>
      </c>
    </row>
    <row r="376" spans="1:31">
      <c r="A376" s="5">
        <f>IF(B376=" "," ",HYPERLINK(CONCATENATE("#metadata!",ADDRESS(INDEX($Q$2:$Q$1001,MATCH(ROWS($O$2:O376),$O$2:$O$1001,0),0),1)),INDEX($T$2:$T$1001,MATCH(ROWS($O$2:O376),$O$2:$O$1001,0),0)))</f>
        <v>0</v>
      </c>
      <c r="B376" s="4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4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4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4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4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4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4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4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4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4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OR(AND(IF(metadata!C376="",FALSE,TRUE),OR(exact(metadata!C376,"not applicable"),exact(metadata!C376,"missing: not collected"),exact(metadata!C376,"missing: not provided"),exact(metadata!C376,"missing: restricted access"))),AND(IF(metadata!C376="",FALSE,ISNUMBER(VALUE(metadata!C376))),metadata!C376&gt;0))</f>
        <v>0</v>
      </c>
      <c r="X376">
        <f>AND(IF(metadata!D376="",FALSE,TRUE),exact(metadata!D376,"weeks"))</f>
        <v>0</v>
      </c>
      <c r="Y376">
        <f>AND(IF(metadata!E376="",FALSE,TRUE),exact(metadata!E376,"urban biome"))</f>
        <v>0</v>
      </c>
      <c r="Z376">
        <f>AND(IF(metadata!F376="",FALSE,TRUE),exact(metadata!F376,"animal-associated habitat"))</f>
        <v>0</v>
      </c>
      <c r="AA376">
        <f>AND(IF(metadata!G376="",FALSE,TRUE),exact(metadata!G376,"mouse"))</f>
        <v>0</v>
      </c>
      <c r="AB376">
        <f>AND(IF(metadata!H376="",FALSE,TRUE),exact(metadata!H376,"Mus musculus"))</f>
        <v>0</v>
      </c>
      <c r="AC376">
        <f>AND(IF(metadata!I376="",FALSE,TRUE),exact(metadata!I376,"10090"))</f>
        <v>0</v>
      </c>
      <c r="AD376">
        <f>OR(AND(IF(metadata!J376="",FALSE,TRUE),OR(exact(metadata!J376,"not applicable"),exact(metadata!J376,"missing: not collected"),exact(metadata!J376,"missing: not provided"),exact(metadata!J376,"missing: restricted access"))),AND(IF(metadata!J376="",FALSE,ISNUMBER(VALUE(metadata!J376))),metadata!J376&gt;0))</f>
        <v>0</v>
      </c>
      <c r="AE376">
        <f>AND(IF(metadata!K376="",FALSE,TRUE),exact(metadata!K376,"g"))</f>
        <v>0</v>
      </c>
    </row>
    <row r="377" spans="1:31">
      <c r="A377" s="5">
        <f>IF(B377=" "," ",HYPERLINK(CONCATENATE("#metadata!",ADDRESS(INDEX($Q$2:$Q$1001,MATCH(ROWS($O$2:O377),$O$2:$O$1001,0),0),1)),INDEX($T$2:$T$1001,MATCH(ROWS($O$2:O377),$O$2:$O$1001,0),0)))</f>
        <v>0</v>
      </c>
      <c r="B377" s="4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4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4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4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4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4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4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4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4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4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OR(AND(IF(metadata!C377="",FALSE,TRUE),OR(exact(metadata!C377,"not applicable"),exact(metadata!C377,"missing: not collected"),exact(metadata!C377,"missing: not provided"),exact(metadata!C377,"missing: restricted access"))),AND(IF(metadata!C377="",FALSE,ISNUMBER(VALUE(metadata!C377))),metadata!C377&gt;0))</f>
        <v>0</v>
      </c>
      <c r="X377">
        <f>AND(IF(metadata!D377="",FALSE,TRUE),exact(metadata!D377,"weeks"))</f>
        <v>0</v>
      </c>
      <c r="Y377">
        <f>AND(IF(metadata!E377="",FALSE,TRUE),exact(metadata!E377,"urban biome"))</f>
        <v>0</v>
      </c>
      <c r="Z377">
        <f>AND(IF(metadata!F377="",FALSE,TRUE),exact(metadata!F377,"animal-associated habitat"))</f>
        <v>0</v>
      </c>
      <c r="AA377">
        <f>AND(IF(metadata!G377="",FALSE,TRUE),exact(metadata!G377,"mouse"))</f>
        <v>0</v>
      </c>
      <c r="AB377">
        <f>AND(IF(metadata!H377="",FALSE,TRUE),exact(metadata!H377,"Mus musculus"))</f>
        <v>0</v>
      </c>
      <c r="AC377">
        <f>AND(IF(metadata!I377="",FALSE,TRUE),exact(metadata!I377,"10090"))</f>
        <v>0</v>
      </c>
      <c r="AD377">
        <f>OR(AND(IF(metadata!J377="",FALSE,TRUE),OR(exact(metadata!J377,"not applicable"),exact(metadata!J377,"missing: not collected"),exact(metadata!J377,"missing: not provided"),exact(metadata!J377,"missing: restricted access"))),AND(IF(metadata!J377="",FALSE,ISNUMBER(VALUE(metadata!J377))),metadata!J377&gt;0))</f>
        <v>0</v>
      </c>
      <c r="AE377">
        <f>AND(IF(metadata!K377="",FALSE,TRUE),exact(metadata!K377,"g"))</f>
        <v>0</v>
      </c>
    </row>
    <row r="378" spans="1:31">
      <c r="A378" s="5">
        <f>IF(B378=" "," ",HYPERLINK(CONCATENATE("#metadata!",ADDRESS(INDEX($Q$2:$Q$1001,MATCH(ROWS($O$2:O378),$O$2:$O$1001,0),0),1)),INDEX($T$2:$T$1001,MATCH(ROWS($O$2:O378),$O$2:$O$1001,0),0)))</f>
        <v>0</v>
      </c>
      <c r="B378" s="4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4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4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4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4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4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4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4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4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4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OR(AND(IF(metadata!C378="",FALSE,TRUE),OR(exact(metadata!C378,"not applicable"),exact(metadata!C378,"missing: not collected"),exact(metadata!C378,"missing: not provided"),exact(metadata!C378,"missing: restricted access"))),AND(IF(metadata!C378="",FALSE,ISNUMBER(VALUE(metadata!C378))),metadata!C378&gt;0))</f>
        <v>0</v>
      </c>
      <c r="X378">
        <f>AND(IF(metadata!D378="",FALSE,TRUE),exact(metadata!D378,"weeks"))</f>
        <v>0</v>
      </c>
      <c r="Y378">
        <f>AND(IF(metadata!E378="",FALSE,TRUE),exact(metadata!E378,"urban biome"))</f>
        <v>0</v>
      </c>
      <c r="Z378">
        <f>AND(IF(metadata!F378="",FALSE,TRUE),exact(metadata!F378,"animal-associated habitat"))</f>
        <v>0</v>
      </c>
      <c r="AA378">
        <f>AND(IF(metadata!G378="",FALSE,TRUE),exact(metadata!G378,"mouse"))</f>
        <v>0</v>
      </c>
      <c r="AB378">
        <f>AND(IF(metadata!H378="",FALSE,TRUE),exact(metadata!H378,"Mus musculus"))</f>
        <v>0</v>
      </c>
      <c r="AC378">
        <f>AND(IF(metadata!I378="",FALSE,TRUE),exact(metadata!I378,"10090"))</f>
        <v>0</v>
      </c>
      <c r="AD378">
        <f>OR(AND(IF(metadata!J378="",FALSE,TRUE),OR(exact(metadata!J378,"not applicable"),exact(metadata!J378,"missing: not collected"),exact(metadata!J378,"missing: not provided"),exact(metadata!J378,"missing: restricted access"))),AND(IF(metadata!J378="",FALSE,ISNUMBER(VALUE(metadata!J378))),metadata!J378&gt;0))</f>
        <v>0</v>
      </c>
      <c r="AE378">
        <f>AND(IF(metadata!K378="",FALSE,TRUE),exact(metadata!K378,"g"))</f>
        <v>0</v>
      </c>
    </row>
    <row r="379" spans="1:31">
      <c r="A379" s="5">
        <f>IF(B379=" "," ",HYPERLINK(CONCATENATE("#metadata!",ADDRESS(INDEX($Q$2:$Q$1001,MATCH(ROWS($O$2:O379),$O$2:$O$1001,0),0),1)),INDEX($T$2:$T$1001,MATCH(ROWS($O$2:O379),$O$2:$O$1001,0),0)))</f>
        <v>0</v>
      </c>
      <c r="B379" s="4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4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4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4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4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4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4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4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4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4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OR(AND(IF(metadata!C379="",FALSE,TRUE),OR(exact(metadata!C379,"not applicable"),exact(metadata!C379,"missing: not collected"),exact(metadata!C379,"missing: not provided"),exact(metadata!C379,"missing: restricted access"))),AND(IF(metadata!C379="",FALSE,ISNUMBER(VALUE(metadata!C379))),metadata!C379&gt;0))</f>
        <v>0</v>
      </c>
      <c r="X379">
        <f>AND(IF(metadata!D379="",FALSE,TRUE),exact(metadata!D379,"weeks"))</f>
        <v>0</v>
      </c>
      <c r="Y379">
        <f>AND(IF(metadata!E379="",FALSE,TRUE),exact(metadata!E379,"urban biome"))</f>
        <v>0</v>
      </c>
      <c r="Z379">
        <f>AND(IF(metadata!F379="",FALSE,TRUE),exact(metadata!F379,"animal-associated habitat"))</f>
        <v>0</v>
      </c>
      <c r="AA379">
        <f>AND(IF(metadata!G379="",FALSE,TRUE),exact(metadata!G379,"mouse"))</f>
        <v>0</v>
      </c>
      <c r="AB379">
        <f>AND(IF(metadata!H379="",FALSE,TRUE),exact(metadata!H379,"Mus musculus"))</f>
        <v>0</v>
      </c>
      <c r="AC379">
        <f>AND(IF(metadata!I379="",FALSE,TRUE),exact(metadata!I379,"10090"))</f>
        <v>0</v>
      </c>
      <c r="AD379">
        <f>OR(AND(IF(metadata!J379="",FALSE,TRUE),OR(exact(metadata!J379,"not applicable"),exact(metadata!J379,"missing: not collected"),exact(metadata!J379,"missing: not provided"),exact(metadata!J379,"missing: restricted access"))),AND(IF(metadata!J379="",FALSE,ISNUMBER(VALUE(metadata!J379))),metadata!J379&gt;0))</f>
        <v>0</v>
      </c>
      <c r="AE379">
        <f>AND(IF(metadata!K379="",FALSE,TRUE),exact(metadata!K379,"g"))</f>
        <v>0</v>
      </c>
    </row>
    <row r="380" spans="1:31">
      <c r="A380" s="5">
        <f>IF(B380=" "," ",HYPERLINK(CONCATENATE("#metadata!",ADDRESS(INDEX($Q$2:$Q$1001,MATCH(ROWS($O$2:O380),$O$2:$O$1001,0),0),1)),INDEX($T$2:$T$1001,MATCH(ROWS($O$2:O380),$O$2:$O$1001,0),0)))</f>
        <v>0</v>
      </c>
      <c r="B380" s="4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4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4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4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4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4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4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4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4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4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OR(AND(IF(metadata!C380="",FALSE,TRUE),OR(exact(metadata!C380,"not applicable"),exact(metadata!C380,"missing: not collected"),exact(metadata!C380,"missing: not provided"),exact(metadata!C380,"missing: restricted access"))),AND(IF(metadata!C380="",FALSE,ISNUMBER(VALUE(metadata!C380))),metadata!C380&gt;0))</f>
        <v>0</v>
      </c>
      <c r="X380">
        <f>AND(IF(metadata!D380="",FALSE,TRUE),exact(metadata!D380,"weeks"))</f>
        <v>0</v>
      </c>
      <c r="Y380">
        <f>AND(IF(metadata!E380="",FALSE,TRUE),exact(metadata!E380,"urban biome"))</f>
        <v>0</v>
      </c>
      <c r="Z380">
        <f>AND(IF(metadata!F380="",FALSE,TRUE),exact(metadata!F380,"animal-associated habitat"))</f>
        <v>0</v>
      </c>
      <c r="AA380">
        <f>AND(IF(metadata!G380="",FALSE,TRUE),exact(metadata!G380,"mouse"))</f>
        <v>0</v>
      </c>
      <c r="AB380">
        <f>AND(IF(metadata!H380="",FALSE,TRUE),exact(metadata!H380,"Mus musculus"))</f>
        <v>0</v>
      </c>
      <c r="AC380">
        <f>AND(IF(metadata!I380="",FALSE,TRUE),exact(metadata!I380,"10090"))</f>
        <v>0</v>
      </c>
      <c r="AD380">
        <f>OR(AND(IF(metadata!J380="",FALSE,TRUE),OR(exact(metadata!J380,"not applicable"),exact(metadata!J380,"missing: not collected"),exact(metadata!J380,"missing: not provided"),exact(metadata!J380,"missing: restricted access"))),AND(IF(metadata!J380="",FALSE,ISNUMBER(VALUE(metadata!J380))),metadata!J380&gt;0))</f>
        <v>0</v>
      </c>
      <c r="AE380">
        <f>AND(IF(metadata!K380="",FALSE,TRUE),exact(metadata!K380,"g"))</f>
        <v>0</v>
      </c>
    </row>
    <row r="381" spans="1:31">
      <c r="A381" s="5">
        <f>IF(B381=" "," ",HYPERLINK(CONCATENATE("#metadata!",ADDRESS(INDEX($Q$2:$Q$1001,MATCH(ROWS($O$2:O381),$O$2:$O$1001,0),0),1)),INDEX($T$2:$T$1001,MATCH(ROWS($O$2:O381),$O$2:$O$1001,0),0)))</f>
        <v>0</v>
      </c>
      <c r="B381" s="4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4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4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4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4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4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4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4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4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4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OR(AND(IF(metadata!C381="",FALSE,TRUE),OR(exact(metadata!C381,"not applicable"),exact(metadata!C381,"missing: not collected"),exact(metadata!C381,"missing: not provided"),exact(metadata!C381,"missing: restricted access"))),AND(IF(metadata!C381="",FALSE,ISNUMBER(VALUE(metadata!C381))),metadata!C381&gt;0))</f>
        <v>0</v>
      </c>
      <c r="X381">
        <f>AND(IF(metadata!D381="",FALSE,TRUE),exact(metadata!D381,"weeks"))</f>
        <v>0</v>
      </c>
      <c r="Y381">
        <f>AND(IF(metadata!E381="",FALSE,TRUE),exact(metadata!E381,"urban biome"))</f>
        <v>0</v>
      </c>
      <c r="Z381">
        <f>AND(IF(metadata!F381="",FALSE,TRUE),exact(metadata!F381,"animal-associated habitat"))</f>
        <v>0</v>
      </c>
      <c r="AA381">
        <f>AND(IF(metadata!G381="",FALSE,TRUE),exact(metadata!G381,"mouse"))</f>
        <v>0</v>
      </c>
      <c r="AB381">
        <f>AND(IF(metadata!H381="",FALSE,TRUE),exact(metadata!H381,"Mus musculus"))</f>
        <v>0</v>
      </c>
      <c r="AC381">
        <f>AND(IF(metadata!I381="",FALSE,TRUE),exact(metadata!I381,"10090"))</f>
        <v>0</v>
      </c>
      <c r="AD381">
        <f>OR(AND(IF(metadata!J381="",FALSE,TRUE),OR(exact(metadata!J381,"not applicable"),exact(metadata!J381,"missing: not collected"),exact(metadata!J381,"missing: not provided"),exact(metadata!J381,"missing: restricted access"))),AND(IF(metadata!J381="",FALSE,ISNUMBER(VALUE(metadata!J381))),metadata!J381&gt;0))</f>
        <v>0</v>
      </c>
      <c r="AE381">
        <f>AND(IF(metadata!K381="",FALSE,TRUE),exact(metadata!K381,"g"))</f>
        <v>0</v>
      </c>
    </row>
    <row r="382" spans="1:31">
      <c r="A382" s="5">
        <f>IF(B382=" "," ",HYPERLINK(CONCATENATE("#metadata!",ADDRESS(INDEX($Q$2:$Q$1001,MATCH(ROWS($O$2:O382),$O$2:$O$1001,0),0),1)),INDEX($T$2:$T$1001,MATCH(ROWS($O$2:O382),$O$2:$O$1001,0),0)))</f>
        <v>0</v>
      </c>
      <c r="B382" s="4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4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4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4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4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4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4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4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4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4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OR(AND(IF(metadata!C382="",FALSE,TRUE),OR(exact(metadata!C382,"not applicable"),exact(metadata!C382,"missing: not collected"),exact(metadata!C382,"missing: not provided"),exact(metadata!C382,"missing: restricted access"))),AND(IF(metadata!C382="",FALSE,ISNUMBER(VALUE(metadata!C382))),metadata!C382&gt;0))</f>
        <v>0</v>
      </c>
      <c r="X382">
        <f>AND(IF(metadata!D382="",FALSE,TRUE),exact(metadata!D382,"weeks"))</f>
        <v>0</v>
      </c>
      <c r="Y382">
        <f>AND(IF(metadata!E382="",FALSE,TRUE),exact(metadata!E382,"urban biome"))</f>
        <v>0</v>
      </c>
      <c r="Z382">
        <f>AND(IF(metadata!F382="",FALSE,TRUE),exact(metadata!F382,"animal-associated habitat"))</f>
        <v>0</v>
      </c>
      <c r="AA382">
        <f>AND(IF(metadata!G382="",FALSE,TRUE),exact(metadata!G382,"mouse"))</f>
        <v>0</v>
      </c>
      <c r="AB382">
        <f>AND(IF(metadata!H382="",FALSE,TRUE),exact(metadata!H382,"Mus musculus"))</f>
        <v>0</v>
      </c>
      <c r="AC382">
        <f>AND(IF(metadata!I382="",FALSE,TRUE),exact(metadata!I382,"10090"))</f>
        <v>0</v>
      </c>
      <c r="AD382">
        <f>OR(AND(IF(metadata!J382="",FALSE,TRUE),OR(exact(metadata!J382,"not applicable"),exact(metadata!J382,"missing: not collected"),exact(metadata!J382,"missing: not provided"),exact(metadata!J382,"missing: restricted access"))),AND(IF(metadata!J382="",FALSE,ISNUMBER(VALUE(metadata!J382))),metadata!J382&gt;0))</f>
        <v>0</v>
      </c>
      <c r="AE382">
        <f>AND(IF(metadata!K382="",FALSE,TRUE),exact(metadata!K382,"g"))</f>
        <v>0</v>
      </c>
    </row>
    <row r="383" spans="1:31">
      <c r="A383" s="5">
        <f>IF(B383=" "," ",HYPERLINK(CONCATENATE("#metadata!",ADDRESS(INDEX($Q$2:$Q$1001,MATCH(ROWS($O$2:O383),$O$2:$O$1001,0),0),1)),INDEX($T$2:$T$1001,MATCH(ROWS($O$2:O383),$O$2:$O$1001,0),0)))</f>
        <v>0</v>
      </c>
      <c r="B383" s="4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4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4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4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4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4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4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4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4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4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OR(AND(IF(metadata!C383="",FALSE,TRUE),OR(exact(metadata!C383,"not applicable"),exact(metadata!C383,"missing: not collected"),exact(metadata!C383,"missing: not provided"),exact(metadata!C383,"missing: restricted access"))),AND(IF(metadata!C383="",FALSE,ISNUMBER(VALUE(metadata!C383))),metadata!C383&gt;0))</f>
        <v>0</v>
      </c>
      <c r="X383">
        <f>AND(IF(metadata!D383="",FALSE,TRUE),exact(metadata!D383,"weeks"))</f>
        <v>0</v>
      </c>
      <c r="Y383">
        <f>AND(IF(metadata!E383="",FALSE,TRUE),exact(metadata!E383,"urban biome"))</f>
        <v>0</v>
      </c>
      <c r="Z383">
        <f>AND(IF(metadata!F383="",FALSE,TRUE),exact(metadata!F383,"animal-associated habitat"))</f>
        <v>0</v>
      </c>
      <c r="AA383">
        <f>AND(IF(metadata!G383="",FALSE,TRUE),exact(metadata!G383,"mouse"))</f>
        <v>0</v>
      </c>
      <c r="AB383">
        <f>AND(IF(metadata!H383="",FALSE,TRUE),exact(metadata!H383,"Mus musculus"))</f>
        <v>0</v>
      </c>
      <c r="AC383">
        <f>AND(IF(metadata!I383="",FALSE,TRUE),exact(metadata!I383,"10090"))</f>
        <v>0</v>
      </c>
      <c r="AD383">
        <f>OR(AND(IF(metadata!J383="",FALSE,TRUE),OR(exact(metadata!J383,"not applicable"),exact(metadata!J383,"missing: not collected"),exact(metadata!J383,"missing: not provided"),exact(metadata!J383,"missing: restricted access"))),AND(IF(metadata!J383="",FALSE,ISNUMBER(VALUE(metadata!J383))),metadata!J383&gt;0))</f>
        <v>0</v>
      </c>
      <c r="AE383">
        <f>AND(IF(metadata!K383="",FALSE,TRUE),exact(metadata!K383,"g"))</f>
        <v>0</v>
      </c>
    </row>
    <row r="384" spans="1:31">
      <c r="A384" s="5">
        <f>IF(B384=" "," ",HYPERLINK(CONCATENATE("#metadata!",ADDRESS(INDEX($Q$2:$Q$1001,MATCH(ROWS($O$2:O384),$O$2:$O$1001,0),0),1)),INDEX($T$2:$T$1001,MATCH(ROWS($O$2:O384),$O$2:$O$1001,0),0)))</f>
        <v>0</v>
      </c>
      <c r="B384" s="4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4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4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4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4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4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4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4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4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4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OR(AND(IF(metadata!C384="",FALSE,TRUE),OR(exact(metadata!C384,"not applicable"),exact(metadata!C384,"missing: not collected"),exact(metadata!C384,"missing: not provided"),exact(metadata!C384,"missing: restricted access"))),AND(IF(metadata!C384="",FALSE,ISNUMBER(VALUE(metadata!C384))),metadata!C384&gt;0))</f>
        <v>0</v>
      </c>
      <c r="X384">
        <f>AND(IF(metadata!D384="",FALSE,TRUE),exact(metadata!D384,"weeks"))</f>
        <v>0</v>
      </c>
      <c r="Y384">
        <f>AND(IF(metadata!E384="",FALSE,TRUE),exact(metadata!E384,"urban biome"))</f>
        <v>0</v>
      </c>
      <c r="Z384">
        <f>AND(IF(metadata!F384="",FALSE,TRUE),exact(metadata!F384,"animal-associated habitat"))</f>
        <v>0</v>
      </c>
      <c r="AA384">
        <f>AND(IF(metadata!G384="",FALSE,TRUE),exact(metadata!G384,"mouse"))</f>
        <v>0</v>
      </c>
      <c r="AB384">
        <f>AND(IF(metadata!H384="",FALSE,TRUE),exact(metadata!H384,"Mus musculus"))</f>
        <v>0</v>
      </c>
      <c r="AC384">
        <f>AND(IF(metadata!I384="",FALSE,TRUE),exact(metadata!I384,"10090"))</f>
        <v>0</v>
      </c>
      <c r="AD384">
        <f>OR(AND(IF(metadata!J384="",FALSE,TRUE),OR(exact(metadata!J384,"not applicable"),exact(metadata!J384,"missing: not collected"),exact(metadata!J384,"missing: not provided"),exact(metadata!J384,"missing: restricted access"))),AND(IF(metadata!J384="",FALSE,ISNUMBER(VALUE(metadata!J384))),metadata!J384&gt;0))</f>
        <v>0</v>
      </c>
      <c r="AE384">
        <f>AND(IF(metadata!K384="",FALSE,TRUE),exact(metadata!K384,"g"))</f>
        <v>0</v>
      </c>
    </row>
    <row r="385" spans="1:31">
      <c r="A385" s="5">
        <f>IF(B385=" "," ",HYPERLINK(CONCATENATE("#metadata!",ADDRESS(INDEX($Q$2:$Q$1001,MATCH(ROWS($O$2:O385),$O$2:$O$1001,0),0),1)),INDEX($T$2:$T$1001,MATCH(ROWS($O$2:O385),$O$2:$O$1001,0),0)))</f>
        <v>0</v>
      </c>
      <c r="B385" s="4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4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4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4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4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4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4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4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4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4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OR(AND(IF(metadata!C385="",FALSE,TRUE),OR(exact(metadata!C385,"not applicable"),exact(metadata!C385,"missing: not collected"),exact(metadata!C385,"missing: not provided"),exact(metadata!C385,"missing: restricted access"))),AND(IF(metadata!C385="",FALSE,ISNUMBER(VALUE(metadata!C385))),metadata!C385&gt;0))</f>
        <v>0</v>
      </c>
      <c r="X385">
        <f>AND(IF(metadata!D385="",FALSE,TRUE),exact(metadata!D385,"weeks"))</f>
        <v>0</v>
      </c>
      <c r="Y385">
        <f>AND(IF(metadata!E385="",FALSE,TRUE),exact(metadata!E385,"urban biome"))</f>
        <v>0</v>
      </c>
      <c r="Z385">
        <f>AND(IF(metadata!F385="",FALSE,TRUE),exact(metadata!F385,"animal-associated habitat"))</f>
        <v>0</v>
      </c>
      <c r="AA385">
        <f>AND(IF(metadata!G385="",FALSE,TRUE),exact(metadata!G385,"mouse"))</f>
        <v>0</v>
      </c>
      <c r="AB385">
        <f>AND(IF(metadata!H385="",FALSE,TRUE),exact(metadata!H385,"Mus musculus"))</f>
        <v>0</v>
      </c>
      <c r="AC385">
        <f>AND(IF(metadata!I385="",FALSE,TRUE),exact(metadata!I385,"10090"))</f>
        <v>0</v>
      </c>
      <c r="AD385">
        <f>OR(AND(IF(metadata!J385="",FALSE,TRUE),OR(exact(metadata!J385,"not applicable"),exact(metadata!J385,"missing: not collected"),exact(metadata!J385,"missing: not provided"),exact(metadata!J385,"missing: restricted access"))),AND(IF(metadata!J385="",FALSE,ISNUMBER(VALUE(metadata!J385))),metadata!J385&gt;0))</f>
        <v>0</v>
      </c>
      <c r="AE385">
        <f>AND(IF(metadata!K385="",FALSE,TRUE),exact(metadata!K385,"g"))</f>
        <v>0</v>
      </c>
    </row>
    <row r="386" spans="1:31">
      <c r="A386" s="5">
        <f>IF(B386=" "," ",HYPERLINK(CONCATENATE("#metadata!",ADDRESS(INDEX($Q$2:$Q$1001,MATCH(ROWS($O$2:O386),$O$2:$O$1001,0),0),1)),INDEX($T$2:$T$1001,MATCH(ROWS($O$2:O386),$O$2:$O$1001,0),0)))</f>
        <v>0</v>
      </c>
      <c r="B386" s="4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4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4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4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4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4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4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4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4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4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OR(AND(IF(metadata!C386="",FALSE,TRUE),OR(exact(metadata!C386,"not applicable"),exact(metadata!C386,"missing: not collected"),exact(metadata!C386,"missing: not provided"),exact(metadata!C386,"missing: restricted access"))),AND(IF(metadata!C386="",FALSE,ISNUMBER(VALUE(metadata!C386))),metadata!C386&gt;0))</f>
        <v>0</v>
      </c>
      <c r="X386">
        <f>AND(IF(metadata!D386="",FALSE,TRUE),exact(metadata!D386,"weeks"))</f>
        <v>0</v>
      </c>
      <c r="Y386">
        <f>AND(IF(metadata!E386="",FALSE,TRUE),exact(metadata!E386,"urban biome"))</f>
        <v>0</v>
      </c>
      <c r="Z386">
        <f>AND(IF(metadata!F386="",FALSE,TRUE),exact(metadata!F386,"animal-associated habitat"))</f>
        <v>0</v>
      </c>
      <c r="AA386">
        <f>AND(IF(metadata!G386="",FALSE,TRUE),exact(metadata!G386,"mouse"))</f>
        <v>0</v>
      </c>
      <c r="AB386">
        <f>AND(IF(metadata!H386="",FALSE,TRUE),exact(metadata!H386,"Mus musculus"))</f>
        <v>0</v>
      </c>
      <c r="AC386">
        <f>AND(IF(metadata!I386="",FALSE,TRUE),exact(metadata!I386,"10090"))</f>
        <v>0</v>
      </c>
      <c r="AD386">
        <f>OR(AND(IF(metadata!J386="",FALSE,TRUE),OR(exact(metadata!J386,"not applicable"),exact(metadata!J386,"missing: not collected"),exact(metadata!J386,"missing: not provided"),exact(metadata!J386,"missing: restricted access"))),AND(IF(metadata!J386="",FALSE,ISNUMBER(VALUE(metadata!J386))),metadata!J386&gt;0))</f>
        <v>0</v>
      </c>
      <c r="AE386">
        <f>AND(IF(metadata!K386="",FALSE,TRUE),exact(metadata!K386,"g"))</f>
        <v>0</v>
      </c>
    </row>
    <row r="387" spans="1:31">
      <c r="A387" s="5">
        <f>IF(B387=" "," ",HYPERLINK(CONCATENATE("#metadata!",ADDRESS(INDEX($Q$2:$Q$1001,MATCH(ROWS($O$2:O387),$O$2:$O$1001,0),0),1)),INDEX($T$2:$T$1001,MATCH(ROWS($O$2:O387),$O$2:$O$1001,0),0)))</f>
        <v>0</v>
      </c>
      <c r="B387" s="4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4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4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4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4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4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4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4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4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4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OR(AND(IF(metadata!C387="",FALSE,TRUE),OR(exact(metadata!C387,"not applicable"),exact(metadata!C387,"missing: not collected"),exact(metadata!C387,"missing: not provided"),exact(metadata!C387,"missing: restricted access"))),AND(IF(metadata!C387="",FALSE,ISNUMBER(VALUE(metadata!C387))),metadata!C387&gt;0))</f>
        <v>0</v>
      </c>
      <c r="X387">
        <f>AND(IF(metadata!D387="",FALSE,TRUE),exact(metadata!D387,"weeks"))</f>
        <v>0</v>
      </c>
      <c r="Y387">
        <f>AND(IF(metadata!E387="",FALSE,TRUE),exact(metadata!E387,"urban biome"))</f>
        <v>0</v>
      </c>
      <c r="Z387">
        <f>AND(IF(metadata!F387="",FALSE,TRUE),exact(metadata!F387,"animal-associated habitat"))</f>
        <v>0</v>
      </c>
      <c r="AA387">
        <f>AND(IF(metadata!G387="",FALSE,TRUE),exact(metadata!G387,"mouse"))</f>
        <v>0</v>
      </c>
      <c r="AB387">
        <f>AND(IF(metadata!H387="",FALSE,TRUE),exact(metadata!H387,"Mus musculus"))</f>
        <v>0</v>
      </c>
      <c r="AC387">
        <f>AND(IF(metadata!I387="",FALSE,TRUE),exact(metadata!I387,"10090"))</f>
        <v>0</v>
      </c>
      <c r="AD387">
        <f>OR(AND(IF(metadata!J387="",FALSE,TRUE),OR(exact(metadata!J387,"not applicable"),exact(metadata!J387,"missing: not collected"),exact(metadata!J387,"missing: not provided"),exact(metadata!J387,"missing: restricted access"))),AND(IF(metadata!J387="",FALSE,ISNUMBER(VALUE(metadata!J387))),metadata!J387&gt;0))</f>
        <v>0</v>
      </c>
      <c r="AE387">
        <f>AND(IF(metadata!K387="",FALSE,TRUE),exact(metadata!K387,"g"))</f>
        <v>0</v>
      </c>
    </row>
    <row r="388" spans="1:31">
      <c r="A388" s="5">
        <f>IF(B388=" "," ",HYPERLINK(CONCATENATE("#metadata!",ADDRESS(INDEX($Q$2:$Q$1001,MATCH(ROWS($O$2:O388),$O$2:$O$1001,0),0),1)),INDEX($T$2:$T$1001,MATCH(ROWS($O$2:O388),$O$2:$O$1001,0),0)))</f>
        <v>0</v>
      </c>
      <c r="B388" s="4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4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4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4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4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4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4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4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4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4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OR(AND(IF(metadata!C388="",FALSE,TRUE),OR(exact(metadata!C388,"not applicable"),exact(metadata!C388,"missing: not collected"),exact(metadata!C388,"missing: not provided"),exact(metadata!C388,"missing: restricted access"))),AND(IF(metadata!C388="",FALSE,ISNUMBER(VALUE(metadata!C388))),metadata!C388&gt;0))</f>
        <v>0</v>
      </c>
      <c r="X388">
        <f>AND(IF(metadata!D388="",FALSE,TRUE),exact(metadata!D388,"weeks"))</f>
        <v>0</v>
      </c>
      <c r="Y388">
        <f>AND(IF(metadata!E388="",FALSE,TRUE),exact(metadata!E388,"urban biome"))</f>
        <v>0</v>
      </c>
      <c r="Z388">
        <f>AND(IF(metadata!F388="",FALSE,TRUE),exact(metadata!F388,"animal-associated habitat"))</f>
        <v>0</v>
      </c>
      <c r="AA388">
        <f>AND(IF(metadata!G388="",FALSE,TRUE),exact(metadata!G388,"mouse"))</f>
        <v>0</v>
      </c>
      <c r="AB388">
        <f>AND(IF(metadata!H388="",FALSE,TRUE),exact(metadata!H388,"Mus musculus"))</f>
        <v>0</v>
      </c>
      <c r="AC388">
        <f>AND(IF(metadata!I388="",FALSE,TRUE),exact(metadata!I388,"10090"))</f>
        <v>0</v>
      </c>
      <c r="AD388">
        <f>OR(AND(IF(metadata!J388="",FALSE,TRUE),OR(exact(metadata!J388,"not applicable"),exact(metadata!J388,"missing: not collected"),exact(metadata!J388,"missing: not provided"),exact(metadata!J388,"missing: restricted access"))),AND(IF(metadata!J388="",FALSE,ISNUMBER(VALUE(metadata!J388))),metadata!J388&gt;0))</f>
        <v>0</v>
      </c>
      <c r="AE388">
        <f>AND(IF(metadata!K388="",FALSE,TRUE),exact(metadata!K388,"g"))</f>
        <v>0</v>
      </c>
    </row>
    <row r="389" spans="1:31">
      <c r="A389" s="5">
        <f>IF(B389=" "," ",HYPERLINK(CONCATENATE("#metadata!",ADDRESS(INDEX($Q$2:$Q$1001,MATCH(ROWS($O$2:O389),$O$2:$O$1001,0),0),1)),INDEX($T$2:$T$1001,MATCH(ROWS($O$2:O389),$O$2:$O$1001,0),0)))</f>
        <v>0</v>
      </c>
      <c r="B389" s="4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4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4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4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4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4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4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4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4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4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OR(AND(IF(metadata!C389="",FALSE,TRUE),OR(exact(metadata!C389,"not applicable"),exact(metadata!C389,"missing: not collected"),exact(metadata!C389,"missing: not provided"),exact(metadata!C389,"missing: restricted access"))),AND(IF(metadata!C389="",FALSE,ISNUMBER(VALUE(metadata!C389))),metadata!C389&gt;0))</f>
        <v>0</v>
      </c>
      <c r="X389">
        <f>AND(IF(metadata!D389="",FALSE,TRUE),exact(metadata!D389,"weeks"))</f>
        <v>0</v>
      </c>
      <c r="Y389">
        <f>AND(IF(metadata!E389="",FALSE,TRUE),exact(metadata!E389,"urban biome"))</f>
        <v>0</v>
      </c>
      <c r="Z389">
        <f>AND(IF(metadata!F389="",FALSE,TRUE),exact(metadata!F389,"animal-associated habitat"))</f>
        <v>0</v>
      </c>
      <c r="AA389">
        <f>AND(IF(metadata!G389="",FALSE,TRUE),exact(metadata!G389,"mouse"))</f>
        <v>0</v>
      </c>
      <c r="AB389">
        <f>AND(IF(metadata!H389="",FALSE,TRUE),exact(metadata!H389,"Mus musculus"))</f>
        <v>0</v>
      </c>
      <c r="AC389">
        <f>AND(IF(metadata!I389="",FALSE,TRUE),exact(metadata!I389,"10090"))</f>
        <v>0</v>
      </c>
      <c r="AD389">
        <f>OR(AND(IF(metadata!J389="",FALSE,TRUE),OR(exact(metadata!J389,"not applicable"),exact(metadata!J389,"missing: not collected"),exact(metadata!J389,"missing: not provided"),exact(metadata!J389,"missing: restricted access"))),AND(IF(metadata!J389="",FALSE,ISNUMBER(VALUE(metadata!J389))),metadata!J389&gt;0))</f>
        <v>0</v>
      </c>
      <c r="AE389">
        <f>AND(IF(metadata!K389="",FALSE,TRUE),exact(metadata!K389,"g"))</f>
        <v>0</v>
      </c>
    </row>
    <row r="390" spans="1:31">
      <c r="A390" s="5">
        <f>IF(B390=" "," ",HYPERLINK(CONCATENATE("#metadata!",ADDRESS(INDEX($Q$2:$Q$1001,MATCH(ROWS($O$2:O390),$O$2:$O$1001,0),0),1)),INDEX($T$2:$T$1001,MATCH(ROWS($O$2:O390),$O$2:$O$1001,0),0)))</f>
        <v>0</v>
      </c>
      <c r="B390" s="4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4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4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4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4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4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4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4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4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4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OR(AND(IF(metadata!C390="",FALSE,TRUE),OR(exact(metadata!C390,"not applicable"),exact(metadata!C390,"missing: not collected"),exact(metadata!C390,"missing: not provided"),exact(metadata!C390,"missing: restricted access"))),AND(IF(metadata!C390="",FALSE,ISNUMBER(VALUE(metadata!C390))),metadata!C390&gt;0))</f>
        <v>0</v>
      </c>
      <c r="X390">
        <f>AND(IF(metadata!D390="",FALSE,TRUE),exact(metadata!D390,"weeks"))</f>
        <v>0</v>
      </c>
      <c r="Y390">
        <f>AND(IF(metadata!E390="",FALSE,TRUE),exact(metadata!E390,"urban biome"))</f>
        <v>0</v>
      </c>
      <c r="Z390">
        <f>AND(IF(metadata!F390="",FALSE,TRUE),exact(metadata!F390,"animal-associated habitat"))</f>
        <v>0</v>
      </c>
      <c r="AA390">
        <f>AND(IF(metadata!G390="",FALSE,TRUE),exact(metadata!G390,"mouse"))</f>
        <v>0</v>
      </c>
      <c r="AB390">
        <f>AND(IF(metadata!H390="",FALSE,TRUE),exact(metadata!H390,"Mus musculus"))</f>
        <v>0</v>
      </c>
      <c r="AC390">
        <f>AND(IF(metadata!I390="",FALSE,TRUE),exact(metadata!I390,"10090"))</f>
        <v>0</v>
      </c>
      <c r="AD390">
        <f>OR(AND(IF(metadata!J390="",FALSE,TRUE),OR(exact(metadata!J390,"not applicable"),exact(metadata!J390,"missing: not collected"),exact(metadata!J390,"missing: not provided"),exact(metadata!J390,"missing: restricted access"))),AND(IF(metadata!J390="",FALSE,ISNUMBER(VALUE(metadata!J390))),metadata!J390&gt;0))</f>
        <v>0</v>
      </c>
      <c r="AE390">
        <f>AND(IF(metadata!K390="",FALSE,TRUE),exact(metadata!K390,"g"))</f>
        <v>0</v>
      </c>
    </row>
    <row r="391" spans="1:31">
      <c r="A391" s="5">
        <f>IF(B391=" "," ",HYPERLINK(CONCATENATE("#metadata!",ADDRESS(INDEX($Q$2:$Q$1001,MATCH(ROWS($O$2:O391),$O$2:$O$1001,0),0),1)),INDEX($T$2:$T$1001,MATCH(ROWS($O$2:O391),$O$2:$O$1001,0),0)))</f>
        <v>0</v>
      </c>
      <c r="B391" s="4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4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4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4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4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4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4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4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4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4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OR(AND(IF(metadata!C391="",FALSE,TRUE),OR(exact(metadata!C391,"not applicable"),exact(metadata!C391,"missing: not collected"),exact(metadata!C391,"missing: not provided"),exact(metadata!C391,"missing: restricted access"))),AND(IF(metadata!C391="",FALSE,ISNUMBER(VALUE(metadata!C391))),metadata!C391&gt;0))</f>
        <v>0</v>
      </c>
      <c r="X391">
        <f>AND(IF(metadata!D391="",FALSE,TRUE),exact(metadata!D391,"weeks"))</f>
        <v>0</v>
      </c>
      <c r="Y391">
        <f>AND(IF(metadata!E391="",FALSE,TRUE),exact(metadata!E391,"urban biome"))</f>
        <v>0</v>
      </c>
      <c r="Z391">
        <f>AND(IF(metadata!F391="",FALSE,TRUE),exact(metadata!F391,"animal-associated habitat"))</f>
        <v>0</v>
      </c>
      <c r="AA391">
        <f>AND(IF(metadata!G391="",FALSE,TRUE),exact(metadata!G391,"mouse"))</f>
        <v>0</v>
      </c>
      <c r="AB391">
        <f>AND(IF(metadata!H391="",FALSE,TRUE),exact(metadata!H391,"Mus musculus"))</f>
        <v>0</v>
      </c>
      <c r="AC391">
        <f>AND(IF(metadata!I391="",FALSE,TRUE),exact(metadata!I391,"10090"))</f>
        <v>0</v>
      </c>
      <c r="AD391">
        <f>OR(AND(IF(metadata!J391="",FALSE,TRUE),OR(exact(metadata!J391,"not applicable"),exact(metadata!J391,"missing: not collected"),exact(metadata!J391,"missing: not provided"),exact(metadata!J391,"missing: restricted access"))),AND(IF(metadata!J391="",FALSE,ISNUMBER(VALUE(metadata!J391))),metadata!J391&gt;0))</f>
        <v>0</v>
      </c>
      <c r="AE391">
        <f>AND(IF(metadata!K391="",FALSE,TRUE),exact(metadata!K391,"g"))</f>
        <v>0</v>
      </c>
    </row>
    <row r="392" spans="1:31">
      <c r="A392" s="5">
        <f>IF(B392=" "," ",HYPERLINK(CONCATENATE("#metadata!",ADDRESS(INDEX($Q$2:$Q$1001,MATCH(ROWS($O$2:O392),$O$2:$O$1001,0),0),1)),INDEX($T$2:$T$1001,MATCH(ROWS($O$2:O392),$O$2:$O$1001,0),0)))</f>
        <v>0</v>
      </c>
      <c r="B392" s="4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4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4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4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4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4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4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4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4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4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OR(AND(IF(metadata!C392="",FALSE,TRUE),OR(exact(metadata!C392,"not applicable"),exact(metadata!C392,"missing: not collected"),exact(metadata!C392,"missing: not provided"),exact(metadata!C392,"missing: restricted access"))),AND(IF(metadata!C392="",FALSE,ISNUMBER(VALUE(metadata!C392))),metadata!C392&gt;0))</f>
        <v>0</v>
      </c>
      <c r="X392">
        <f>AND(IF(metadata!D392="",FALSE,TRUE),exact(metadata!D392,"weeks"))</f>
        <v>0</v>
      </c>
      <c r="Y392">
        <f>AND(IF(metadata!E392="",FALSE,TRUE),exact(metadata!E392,"urban biome"))</f>
        <v>0</v>
      </c>
      <c r="Z392">
        <f>AND(IF(metadata!F392="",FALSE,TRUE),exact(metadata!F392,"animal-associated habitat"))</f>
        <v>0</v>
      </c>
      <c r="AA392">
        <f>AND(IF(metadata!G392="",FALSE,TRUE),exact(metadata!G392,"mouse"))</f>
        <v>0</v>
      </c>
      <c r="AB392">
        <f>AND(IF(metadata!H392="",FALSE,TRUE),exact(metadata!H392,"Mus musculus"))</f>
        <v>0</v>
      </c>
      <c r="AC392">
        <f>AND(IF(metadata!I392="",FALSE,TRUE),exact(metadata!I392,"10090"))</f>
        <v>0</v>
      </c>
      <c r="AD392">
        <f>OR(AND(IF(metadata!J392="",FALSE,TRUE),OR(exact(metadata!J392,"not applicable"),exact(metadata!J392,"missing: not collected"),exact(metadata!J392,"missing: not provided"),exact(metadata!J392,"missing: restricted access"))),AND(IF(metadata!J392="",FALSE,ISNUMBER(VALUE(metadata!J392))),metadata!J392&gt;0))</f>
        <v>0</v>
      </c>
      <c r="AE392">
        <f>AND(IF(metadata!K392="",FALSE,TRUE),exact(metadata!K392,"g"))</f>
        <v>0</v>
      </c>
    </row>
    <row r="393" spans="1:31">
      <c r="A393" s="5">
        <f>IF(B393=" "," ",HYPERLINK(CONCATENATE("#metadata!",ADDRESS(INDEX($Q$2:$Q$1001,MATCH(ROWS($O$2:O393),$O$2:$O$1001,0),0),1)),INDEX($T$2:$T$1001,MATCH(ROWS($O$2:O393),$O$2:$O$1001,0),0)))</f>
        <v>0</v>
      </c>
      <c r="B393" s="4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4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4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4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4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4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4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4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4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4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OR(AND(IF(metadata!C393="",FALSE,TRUE),OR(exact(metadata!C393,"not applicable"),exact(metadata!C393,"missing: not collected"),exact(metadata!C393,"missing: not provided"),exact(metadata!C393,"missing: restricted access"))),AND(IF(metadata!C393="",FALSE,ISNUMBER(VALUE(metadata!C393))),metadata!C393&gt;0))</f>
        <v>0</v>
      </c>
      <c r="X393">
        <f>AND(IF(metadata!D393="",FALSE,TRUE),exact(metadata!D393,"weeks"))</f>
        <v>0</v>
      </c>
      <c r="Y393">
        <f>AND(IF(metadata!E393="",FALSE,TRUE),exact(metadata!E393,"urban biome"))</f>
        <v>0</v>
      </c>
      <c r="Z393">
        <f>AND(IF(metadata!F393="",FALSE,TRUE),exact(metadata!F393,"animal-associated habitat"))</f>
        <v>0</v>
      </c>
      <c r="AA393">
        <f>AND(IF(metadata!G393="",FALSE,TRUE),exact(metadata!G393,"mouse"))</f>
        <v>0</v>
      </c>
      <c r="AB393">
        <f>AND(IF(metadata!H393="",FALSE,TRUE),exact(metadata!H393,"Mus musculus"))</f>
        <v>0</v>
      </c>
      <c r="AC393">
        <f>AND(IF(metadata!I393="",FALSE,TRUE),exact(metadata!I393,"10090"))</f>
        <v>0</v>
      </c>
      <c r="AD393">
        <f>OR(AND(IF(metadata!J393="",FALSE,TRUE),OR(exact(metadata!J393,"not applicable"),exact(metadata!J393,"missing: not collected"),exact(metadata!J393,"missing: not provided"),exact(metadata!J393,"missing: restricted access"))),AND(IF(metadata!J393="",FALSE,ISNUMBER(VALUE(metadata!J393))),metadata!J393&gt;0))</f>
        <v>0</v>
      </c>
      <c r="AE393">
        <f>AND(IF(metadata!K393="",FALSE,TRUE),exact(metadata!K393,"g"))</f>
        <v>0</v>
      </c>
    </row>
    <row r="394" spans="1:31">
      <c r="A394" s="5">
        <f>IF(B394=" "," ",HYPERLINK(CONCATENATE("#metadata!",ADDRESS(INDEX($Q$2:$Q$1001,MATCH(ROWS($O$2:O394),$O$2:$O$1001,0),0),1)),INDEX($T$2:$T$1001,MATCH(ROWS($O$2:O394),$O$2:$O$1001,0),0)))</f>
        <v>0</v>
      </c>
      <c r="B394" s="4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4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4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4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4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4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4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4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4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4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OR(AND(IF(metadata!C394="",FALSE,TRUE),OR(exact(metadata!C394,"not applicable"),exact(metadata!C394,"missing: not collected"),exact(metadata!C394,"missing: not provided"),exact(metadata!C394,"missing: restricted access"))),AND(IF(metadata!C394="",FALSE,ISNUMBER(VALUE(metadata!C394))),metadata!C394&gt;0))</f>
        <v>0</v>
      </c>
      <c r="X394">
        <f>AND(IF(metadata!D394="",FALSE,TRUE),exact(metadata!D394,"weeks"))</f>
        <v>0</v>
      </c>
      <c r="Y394">
        <f>AND(IF(metadata!E394="",FALSE,TRUE),exact(metadata!E394,"urban biome"))</f>
        <v>0</v>
      </c>
      <c r="Z394">
        <f>AND(IF(metadata!F394="",FALSE,TRUE),exact(metadata!F394,"animal-associated habitat"))</f>
        <v>0</v>
      </c>
      <c r="AA394">
        <f>AND(IF(metadata!G394="",FALSE,TRUE),exact(metadata!G394,"mouse"))</f>
        <v>0</v>
      </c>
      <c r="AB394">
        <f>AND(IF(metadata!H394="",FALSE,TRUE),exact(metadata!H394,"Mus musculus"))</f>
        <v>0</v>
      </c>
      <c r="AC394">
        <f>AND(IF(metadata!I394="",FALSE,TRUE),exact(metadata!I394,"10090"))</f>
        <v>0</v>
      </c>
      <c r="AD394">
        <f>OR(AND(IF(metadata!J394="",FALSE,TRUE),OR(exact(metadata!J394,"not applicable"),exact(metadata!J394,"missing: not collected"),exact(metadata!J394,"missing: not provided"),exact(metadata!J394,"missing: restricted access"))),AND(IF(metadata!J394="",FALSE,ISNUMBER(VALUE(metadata!J394))),metadata!J394&gt;0))</f>
        <v>0</v>
      </c>
      <c r="AE394">
        <f>AND(IF(metadata!K394="",FALSE,TRUE),exact(metadata!K394,"g"))</f>
        <v>0</v>
      </c>
    </row>
    <row r="395" spans="1:31">
      <c r="A395" s="5">
        <f>IF(B395=" "," ",HYPERLINK(CONCATENATE("#metadata!",ADDRESS(INDEX($Q$2:$Q$1001,MATCH(ROWS($O$2:O395),$O$2:$O$1001,0),0),1)),INDEX($T$2:$T$1001,MATCH(ROWS($O$2:O395),$O$2:$O$1001,0),0)))</f>
        <v>0</v>
      </c>
      <c r="B395" s="4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4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4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4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4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4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4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4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4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4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OR(AND(IF(metadata!C395="",FALSE,TRUE),OR(exact(metadata!C395,"not applicable"),exact(metadata!C395,"missing: not collected"),exact(metadata!C395,"missing: not provided"),exact(metadata!C395,"missing: restricted access"))),AND(IF(metadata!C395="",FALSE,ISNUMBER(VALUE(metadata!C395))),metadata!C395&gt;0))</f>
        <v>0</v>
      </c>
      <c r="X395">
        <f>AND(IF(metadata!D395="",FALSE,TRUE),exact(metadata!D395,"weeks"))</f>
        <v>0</v>
      </c>
      <c r="Y395">
        <f>AND(IF(metadata!E395="",FALSE,TRUE),exact(metadata!E395,"urban biome"))</f>
        <v>0</v>
      </c>
      <c r="Z395">
        <f>AND(IF(metadata!F395="",FALSE,TRUE),exact(metadata!F395,"animal-associated habitat"))</f>
        <v>0</v>
      </c>
      <c r="AA395">
        <f>AND(IF(metadata!G395="",FALSE,TRUE),exact(metadata!G395,"mouse"))</f>
        <v>0</v>
      </c>
      <c r="AB395">
        <f>AND(IF(metadata!H395="",FALSE,TRUE),exact(metadata!H395,"Mus musculus"))</f>
        <v>0</v>
      </c>
      <c r="AC395">
        <f>AND(IF(metadata!I395="",FALSE,TRUE),exact(metadata!I395,"10090"))</f>
        <v>0</v>
      </c>
      <c r="AD395">
        <f>OR(AND(IF(metadata!J395="",FALSE,TRUE),OR(exact(metadata!J395,"not applicable"),exact(metadata!J395,"missing: not collected"),exact(metadata!J395,"missing: not provided"),exact(metadata!J395,"missing: restricted access"))),AND(IF(metadata!J395="",FALSE,ISNUMBER(VALUE(metadata!J395))),metadata!J395&gt;0))</f>
        <v>0</v>
      </c>
      <c r="AE395">
        <f>AND(IF(metadata!K395="",FALSE,TRUE),exact(metadata!K395,"g"))</f>
        <v>0</v>
      </c>
    </row>
    <row r="396" spans="1:31">
      <c r="A396" s="5">
        <f>IF(B396=" "," ",HYPERLINK(CONCATENATE("#metadata!",ADDRESS(INDEX($Q$2:$Q$1001,MATCH(ROWS($O$2:O396),$O$2:$O$1001,0),0),1)),INDEX($T$2:$T$1001,MATCH(ROWS($O$2:O396),$O$2:$O$1001,0),0)))</f>
        <v>0</v>
      </c>
      <c r="B396" s="4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4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4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4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4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4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4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4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4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4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OR(AND(IF(metadata!C396="",FALSE,TRUE),OR(exact(metadata!C396,"not applicable"),exact(metadata!C396,"missing: not collected"),exact(metadata!C396,"missing: not provided"),exact(metadata!C396,"missing: restricted access"))),AND(IF(metadata!C396="",FALSE,ISNUMBER(VALUE(metadata!C396))),metadata!C396&gt;0))</f>
        <v>0</v>
      </c>
      <c r="X396">
        <f>AND(IF(metadata!D396="",FALSE,TRUE),exact(metadata!D396,"weeks"))</f>
        <v>0</v>
      </c>
      <c r="Y396">
        <f>AND(IF(metadata!E396="",FALSE,TRUE),exact(metadata!E396,"urban biome"))</f>
        <v>0</v>
      </c>
      <c r="Z396">
        <f>AND(IF(metadata!F396="",FALSE,TRUE),exact(metadata!F396,"animal-associated habitat"))</f>
        <v>0</v>
      </c>
      <c r="AA396">
        <f>AND(IF(metadata!G396="",FALSE,TRUE),exact(metadata!G396,"mouse"))</f>
        <v>0</v>
      </c>
      <c r="AB396">
        <f>AND(IF(metadata!H396="",FALSE,TRUE),exact(metadata!H396,"Mus musculus"))</f>
        <v>0</v>
      </c>
      <c r="AC396">
        <f>AND(IF(metadata!I396="",FALSE,TRUE),exact(metadata!I396,"10090"))</f>
        <v>0</v>
      </c>
      <c r="AD396">
        <f>OR(AND(IF(metadata!J396="",FALSE,TRUE),OR(exact(metadata!J396,"not applicable"),exact(metadata!J396,"missing: not collected"),exact(metadata!J396,"missing: not provided"),exact(metadata!J396,"missing: restricted access"))),AND(IF(metadata!J396="",FALSE,ISNUMBER(VALUE(metadata!J396))),metadata!J396&gt;0))</f>
        <v>0</v>
      </c>
      <c r="AE396">
        <f>AND(IF(metadata!K396="",FALSE,TRUE),exact(metadata!K396,"g"))</f>
        <v>0</v>
      </c>
    </row>
    <row r="397" spans="1:31">
      <c r="A397" s="5">
        <f>IF(B397=" "," ",HYPERLINK(CONCATENATE("#metadata!",ADDRESS(INDEX($Q$2:$Q$1001,MATCH(ROWS($O$2:O397),$O$2:$O$1001,0),0),1)),INDEX($T$2:$T$1001,MATCH(ROWS($O$2:O397),$O$2:$O$1001,0),0)))</f>
        <v>0</v>
      </c>
      <c r="B397" s="4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4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4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4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4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4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4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4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4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4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OR(AND(IF(metadata!C397="",FALSE,TRUE),OR(exact(metadata!C397,"not applicable"),exact(metadata!C397,"missing: not collected"),exact(metadata!C397,"missing: not provided"),exact(metadata!C397,"missing: restricted access"))),AND(IF(metadata!C397="",FALSE,ISNUMBER(VALUE(metadata!C397))),metadata!C397&gt;0))</f>
        <v>0</v>
      </c>
      <c r="X397">
        <f>AND(IF(metadata!D397="",FALSE,TRUE),exact(metadata!D397,"weeks"))</f>
        <v>0</v>
      </c>
      <c r="Y397">
        <f>AND(IF(metadata!E397="",FALSE,TRUE),exact(metadata!E397,"urban biome"))</f>
        <v>0</v>
      </c>
      <c r="Z397">
        <f>AND(IF(metadata!F397="",FALSE,TRUE),exact(metadata!F397,"animal-associated habitat"))</f>
        <v>0</v>
      </c>
      <c r="AA397">
        <f>AND(IF(metadata!G397="",FALSE,TRUE),exact(metadata!G397,"mouse"))</f>
        <v>0</v>
      </c>
      <c r="AB397">
        <f>AND(IF(metadata!H397="",FALSE,TRUE),exact(metadata!H397,"Mus musculus"))</f>
        <v>0</v>
      </c>
      <c r="AC397">
        <f>AND(IF(metadata!I397="",FALSE,TRUE),exact(metadata!I397,"10090"))</f>
        <v>0</v>
      </c>
      <c r="AD397">
        <f>OR(AND(IF(metadata!J397="",FALSE,TRUE),OR(exact(metadata!J397,"not applicable"),exact(metadata!J397,"missing: not collected"),exact(metadata!J397,"missing: not provided"),exact(metadata!J397,"missing: restricted access"))),AND(IF(metadata!J397="",FALSE,ISNUMBER(VALUE(metadata!J397))),metadata!J397&gt;0))</f>
        <v>0</v>
      </c>
      <c r="AE397">
        <f>AND(IF(metadata!K397="",FALSE,TRUE),exact(metadata!K397,"g"))</f>
        <v>0</v>
      </c>
    </row>
    <row r="398" spans="1:31">
      <c r="A398" s="5">
        <f>IF(B398=" "," ",HYPERLINK(CONCATENATE("#metadata!",ADDRESS(INDEX($Q$2:$Q$1001,MATCH(ROWS($O$2:O398),$O$2:$O$1001,0),0),1)),INDEX($T$2:$T$1001,MATCH(ROWS($O$2:O398),$O$2:$O$1001,0),0)))</f>
        <v>0</v>
      </c>
      <c r="B398" s="4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4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4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4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4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4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4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4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4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4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OR(AND(IF(metadata!C398="",FALSE,TRUE),OR(exact(metadata!C398,"not applicable"),exact(metadata!C398,"missing: not collected"),exact(metadata!C398,"missing: not provided"),exact(metadata!C398,"missing: restricted access"))),AND(IF(metadata!C398="",FALSE,ISNUMBER(VALUE(metadata!C398))),metadata!C398&gt;0))</f>
        <v>0</v>
      </c>
      <c r="X398">
        <f>AND(IF(metadata!D398="",FALSE,TRUE),exact(metadata!D398,"weeks"))</f>
        <v>0</v>
      </c>
      <c r="Y398">
        <f>AND(IF(metadata!E398="",FALSE,TRUE),exact(metadata!E398,"urban biome"))</f>
        <v>0</v>
      </c>
      <c r="Z398">
        <f>AND(IF(metadata!F398="",FALSE,TRUE),exact(metadata!F398,"animal-associated habitat"))</f>
        <v>0</v>
      </c>
      <c r="AA398">
        <f>AND(IF(metadata!G398="",FALSE,TRUE),exact(metadata!G398,"mouse"))</f>
        <v>0</v>
      </c>
      <c r="AB398">
        <f>AND(IF(metadata!H398="",FALSE,TRUE),exact(metadata!H398,"Mus musculus"))</f>
        <v>0</v>
      </c>
      <c r="AC398">
        <f>AND(IF(metadata!I398="",FALSE,TRUE),exact(metadata!I398,"10090"))</f>
        <v>0</v>
      </c>
      <c r="AD398">
        <f>OR(AND(IF(metadata!J398="",FALSE,TRUE),OR(exact(metadata!J398,"not applicable"),exact(metadata!J398,"missing: not collected"),exact(metadata!J398,"missing: not provided"),exact(metadata!J398,"missing: restricted access"))),AND(IF(metadata!J398="",FALSE,ISNUMBER(VALUE(metadata!J398))),metadata!J398&gt;0))</f>
        <v>0</v>
      </c>
      <c r="AE398">
        <f>AND(IF(metadata!K398="",FALSE,TRUE),exact(metadata!K398,"g"))</f>
        <v>0</v>
      </c>
    </row>
    <row r="399" spans="1:31">
      <c r="A399" s="5">
        <f>IF(B399=" "," ",HYPERLINK(CONCATENATE("#metadata!",ADDRESS(INDEX($Q$2:$Q$1001,MATCH(ROWS($O$2:O399),$O$2:$O$1001,0),0),1)),INDEX($T$2:$T$1001,MATCH(ROWS($O$2:O399),$O$2:$O$1001,0),0)))</f>
        <v>0</v>
      </c>
      <c r="B399" s="4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4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4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4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4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4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4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4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4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4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OR(AND(IF(metadata!C399="",FALSE,TRUE),OR(exact(metadata!C399,"not applicable"),exact(metadata!C399,"missing: not collected"),exact(metadata!C399,"missing: not provided"),exact(metadata!C399,"missing: restricted access"))),AND(IF(metadata!C399="",FALSE,ISNUMBER(VALUE(metadata!C399))),metadata!C399&gt;0))</f>
        <v>0</v>
      </c>
      <c r="X399">
        <f>AND(IF(metadata!D399="",FALSE,TRUE),exact(metadata!D399,"weeks"))</f>
        <v>0</v>
      </c>
      <c r="Y399">
        <f>AND(IF(metadata!E399="",FALSE,TRUE),exact(metadata!E399,"urban biome"))</f>
        <v>0</v>
      </c>
      <c r="Z399">
        <f>AND(IF(metadata!F399="",FALSE,TRUE),exact(metadata!F399,"animal-associated habitat"))</f>
        <v>0</v>
      </c>
      <c r="AA399">
        <f>AND(IF(metadata!G399="",FALSE,TRUE),exact(metadata!G399,"mouse"))</f>
        <v>0</v>
      </c>
      <c r="AB399">
        <f>AND(IF(metadata!H399="",FALSE,TRUE),exact(metadata!H399,"Mus musculus"))</f>
        <v>0</v>
      </c>
      <c r="AC399">
        <f>AND(IF(metadata!I399="",FALSE,TRUE),exact(metadata!I399,"10090"))</f>
        <v>0</v>
      </c>
      <c r="AD399">
        <f>OR(AND(IF(metadata!J399="",FALSE,TRUE),OR(exact(metadata!J399,"not applicable"),exact(metadata!J399,"missing: not collected"),exact(metadata!J399,"missing: not provided"),exact(metadata!J399,"missing: restricted access"))),AND(IF(metadata!J399="",FALSE,ISNUMBER(VALUE(metadata!J399))),metadata!J399&gt;0))</f>
        <v>0</v>
      </c>
      <c r="AE399">
        <f>AND(IF(metadata!K399="",FALSE,TRUE),exact(metadata!K399,"g"))</f>
        <v>0</v>
      </c>
    </row>
    <row r="400" spans="1:31">
      <c r="A400" s="5">
        <f>IF(B400=" "," ",HYPERLINK(CONCATENATE("#metadata!",ADDRESS(INDEX($Q$2:$Q$1001,MATCH(ROWS($O$2:O400),$O$2:$O$1001,0),0),1)),INDEX($T$2:$T$1001,MATCH(ROWS($O$2:O400),$O$2:$O$1001,0),0)))</f>
        <v>0</v>
      </c>
      <c r="B400" s="4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4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4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4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4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4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4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4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4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4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OR(AND(IF(metadata!C400="",FALSE,TRUE),OR(exact(metadata!C400,"not applicable"),exact(metadata!C400,"missing: not collected"),exact(metadata!C400,"missing: not provided"),exact(metadata!C400,"missing: restricted access"))),AND(IF(metadata!C400="",FALSE,ISNUMBER(VALUE(metadata!C400))),metadata!C400&gt;0))</f>
        <v>0</v>
      </c>
      <c r="X400">
        <f>AND(IF(metadata!D400="",FALSE,TRUE),exact(metadata!D400,"weeks"))</f>
        <v>0</v>
      </c>
      <c r="Y400">
        <f>AND(IF(metadata!E400="",FALSE,TRUE),exact(metadata!E400,"urban biome"))</f>
        <v>0</v>
      </c>
      <c r="Z400">
        <f>AND(IF(metadata!F400="",FALSE,TRUE),exact(metadata!F400,"animal-associated habitat"))</f>
        <v>0</v>
      </c>
      <c r="AA400">
        <f>AND(IF(metadata!G400="",FALSE,TRUE),exact(metadata!G400,"mouse"))</f>
        <v>0</v>
      </c>
      <c r="AB400">
        <f>AND(IF(metadata!H400="",FALSE,TRUE),exact(metadata!H400,"Mus musculus"))</f>
        <v>0</v>
      </c>
      <c r="AC400">
        <f>AND(IF(metadata!I400="",FALSE,TRUE),exact(metadata!I400,"10090"))</f>
        <v>0</v>
      </c>
      <c r="AD400">
        <f>OR(AND(IF(metadata!J400="",FALSE,TRUE),OR(exact(metadata!J400,"not applicable"),exact(metadata!J400,"missing: not collected"),exact(metadata!J400,"missing: not provided"),exact(metadata!J400,"missing: restricted access"))),AND(IF(metadata!J400="",FALSE,ISNUMBER(VALUE(metadata!J400))),metadata!J400&gt;0))</f>
        <v>0</v>
      </c>
      <c r="AE400">
        <f>AND(IF(metadata!K400="",FALSE,TRUE),exact(metadata!K400,"g"))</f>
        <v>0</v>
      </c>
    </row>
    <row r="401" spans="1:31">
      <c r="A401" s="5">
        <f>IF(B401=" "," ",HYPERLINK(CONCATENATE("#metadata!",ADDRESS(INDEX($Q$2:$Q$1001,MATCH(ROWS($O$2:O401),$O$2:$O$1001,0),0),1)),INDEX($T$2:$T$1001,MATCH(ROWS($O$2:O401),$O$2:$O$1001,0),0)))</f>
        <v>0</v>
      </c>
      <c r="B401" s="4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4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4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4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4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4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4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4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4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4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OR(AND(IF(metadata!C401="",FALSE,TRUE),OR(exact(metadata!C401,"not applicable"),exact(metadata!C401,"missing: not collected"),exact(metadata!C401,"missing: not provided"),exact(metadata!C401,"missing: restricted access"))),AND(IF(metadata!C401="",FALSE,ISNUMBER(VALUE(metadata!C401))),metadata!C401&gt;0))</f>
        <v>0</v>
      </c>
      <c r="X401">
        <f>AND(IF(metadata!D401="",FALSE,TRUE),exact(metadata!D401,"weeks"))</f>
        <v>0</v>
      </c>
      <c r="Y401">
        <f>AND(IF(metadata!E401="",FALSE,TRUE),exact(metadata!E401,"urban biome"))</f>
        <v>0</v>
      </c>
      <c r="Z401">
        <f>AND(IF(metadata!F401="",FALSE,TRUE),exact(metadata!F401,"animal-associated habitat"))</f>
        <v>0</v>
      </c>
      <c r="AA401">
        <f>AND(IF(metadata!G401="",FALSE,TRUE),exact(metadata!G401,"mouse"))</f>
        <v>0</v>
      </c>
      <c r="AB401">
        <f>AND(IF(metadata!H401="",FALSE,TRUE),exact(metadata!H401,"Mus musculus"))</f>
        <v>0</v>
      </c>
      <c r="AC401">
        <f>AND(IF(metadata!I401="",FALSE,TRUE),exact(metadata!I401,"10090"))</f>
        <v>0</v>
      </c>
      <c r="AD401">
        <f>OR(AND(IF(metadata!J401="",FALSE,TRUE),OR(exact(metadata!J401,"not applicable"),exact(metadata!J401,"missing: not collected"),exact(metadata!J401,"missing: not provided"),exact(metadata!J401,"missing: restricted access"))),AND(IF(metadata!J401="",FALSE,ISNUMBER(VALUE(metadata!J401))),metadata!J401&gt;0))</f>
        <v>0</v>
      </c>
      <c r="AE401">
        <f>AND(IF(metadata!K401="",FALSE,TRUE),exact(metadata!K401,"g"))</f>
        <v>0</v>
      </c>
    </row>
    <row r="402" spans="1:31">
      <c r="A402" s="5">
        <f>IF(B402=" "," ",HYPERLINK(CONCATENATE("#metadata!",ADDRESS(INDEX($Q$2:$Q$1001,MATCH(ROWS($O$2:O402),$O$2:$O$1001,0),0),1)),INDEX($T$2:$T$1001,MATCH(ROWS($O$2:O402),$O$2:$O$1001,0),0)))</f>
        <v>0</v>
      </c>
      <c r="B402" s="4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4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4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4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4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4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4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4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4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4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OR(AND(IF(metadata!C402="",FALSE,TRUE),OR(exact(metadata!C402,"not applicable"),exact(metadata!C402,"missing: not collected"),exact(metadata!C402,"missing: not provided"),exact(metadata!C402,"missing: restricted access"))),AND(IF(metadata!C402="",FALSE,ISNUMBER(VALUE(metadata!C402))),metadata!C402&gt;0))</f>
        <v>0</v>
      </c>
      <c r="X402">
        <f>AND(IF(metadata!D402="",FALSE,TRUE),exact(metadata!D402,"weeks"))</f>
        <v>0</v>
      </c>
      <c r="Y402">
        <f>AND(IF(metadata!E402="",FALSE,TRUE),exact(metadata!E402,"urban biome"))</f>
        <v>0</v>
      </c>
      <c r="Z402">
        <f>AND(IF(metadata!F402="",FALSE,TRUE),exact(metadata!F402,"animal-associated habitat"))</f>
        <v>0</v>
      </c>
      <c r="AA402">
        <f>AND(IF(metadata!G402="",FALSE,TRUE),exact(metadata!G402,"mouse"))</f>
        <v>0</v>
      </c>
      <c r="AB402">
        <f>AND(IF(metadata!H402="",FALSE,TRUE),exact(metadata!H402,"Mus musculus"))</f>
        <v>0</v>
      </c>
      <c r="AC402">
        <f>AND(IF(metadata!I402="",FALSE,TRUE),exact(metadata!I402,"10090"))</f>
        <v>0</v>
      </c>
      <c r="AD402">
        <f>OR(AND(IF(metadata!J402="",FALSE,TRUE),OR(exact(metadata!J402,"not applicable"),exact(metadata!J402,"missing: not collected"),exact(metadata!J402,"missing: not provided"),exact(metadata!J402,"missing: restricted access"))),AND(IF(metadata!J402="",FALSE,ISNUMBER(VALUE(metadata!J402))),metadata!J402&gt;0))</f>
        <v>0</v>
      </c>
      <c r="AE402">
        <f>AND(IF(metadata!K402="",FALSE,TRUE),exact(metadata!K402,"g"))</f>
        <v>0</v>
      </c>
    </row>
    <row r="403" spans="1:31">
      <c r="A403" s="5">
        <f>IF(B403=" "," ",HYPERLINK(CONCATENATE("#metadata!",ADDRESS(INDEX($Q$2:$Q$1001,MATCH(ROWS($O$2:O403),$O$2:$O$1001,0),0),1)),INDEX($T$2:$T$1001,MATCH(ROWS($O$2:O403),$O$2:$O$1001,0),0)))</f>
        <v>0</v>
      </c>
      <c r="B403" s="4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4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4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4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4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4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4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4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4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4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OR(AND(IF(metadata!C403="",FALSE,TRUE),OR(exact(metadata!C403,"not applicable"),exact(metadata!C403,"missing: not collected"),exact(metadata!C403,"missing: not provided"),exact(metadata!C403,"missing: restricted access"))),AND(IF(metadata!C403="",FALSE,ISNUMBER(VALUE(metadata!C403))),metadata!C403&gt;0))</f>
        <v>0</v>
      </c>
      <c r="X403">
        <f>AND(IF(metadata!D403="",FALSE,TRUE),exact(metadata!D403,"weeks"))</f>
        <v>0</v>
      </c>
      <c r="Y403">
        <f>AND(IF(metadata!E403="",FALSE,TRUE),exact(metadata!E403,"urban biome"))</f>
        <v>0</v>
      </c>
      <c r="Z403">
        <f>AND(IF(metadata!F403="",FALSE,TRUE),exact(metadata!F403,"animal-associated habitat"))</f>
        <v>0</v>
      </c>
      <c r="AA403">
        <f>AND(IF(metadata!G403="",FALSE,TRUE),exact(metadata!G403,"mouse"))</f>
        <v>0</v>
      </c>
      <c r="AB403">
        <f>AND(IF(metadata!H403="",FALSE,TRUE),exact(metadata!H403,"Mus musculus"))</f>
        <v>0</v>
      </c>
      <c r="AC403">
        <f>AND(IF(metadata!I403="",FALSE,TRUE),exact(metadata!I403,"10090"))</f>
        <v>0</v>
      </c>
      <c r="AD403">
        <f>OR(AND(IF(metadata!J403="",FALSE,TRUE),OR(exact(metadata!J403,"not applicable"),exact(metadata!J403,"missing: not collected"),exact(metadata!J403,"missing: not provided"),exact(metadata!J403,"missing: restricted access"))),AND(IF(metadata!J403="",FALSE,ISNUMBER(VALUE(metadata!J403))),metadata!J403&gt;0))</f>
        <v>0</v>
      </c>
      <c r="AE403">
        <f>AND(IF(metadata!K403="",FALSE,TRUE),exact(metadata!K403,"g"))</f>
        <v>0</v>
      </c>
    </row>
    <row r="404" spans="1:31">
      <c r="A404" s="5">
        <f>IF(B404=" "," ",HYPERLINK(CONCATENATE("#metadata!",ADDRESS(INDEX($Q$2:$Q$1001,MATCH(ROWS($O$2:O404),$O$2:$O$1001,0),0),1)),INDEX($T$2:$T$1001,MATCH(ROWS($O$2:O404),$O$2:$O$1001,0),0)))</f>
        <v>0</v>
      </c>
      <c r="B404" s="4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4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4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4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4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4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4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4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4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4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OR(AND(IF(metadata!C404="",FALSE,TRUE),OR(exact(metadata!C404,"not applicable"),exact(metadata!C404,"missing: not collected"),exact(metadata!C404,"missing: not provided"),exact(metadata!C404,"missing: restricted access"))),AND(IF(metadata!C404="",FALSE,ISNUMBER(VALUE(metadata!C404))),metadata!C404&gt;0))</f>
        <v>0</v>
      </c>
      <c r="X404">
        <f>AND(IF(metadata!D404="",FALSE,TRUE),exact(metadata!D404,"weeks"))</f>
        <v>0</v>
      </c>
      <c r="Y404">
        <f>AND(IF(metadata!E404="",FALSE,TRUE),exact(metadata!E404,"urban biome"))</f>
        <v>0</v>
      </c>
      <c r="Z404">
        <f>AND(IF(metadata!F404="",FALSE,TRUE),exact(metadata!F404,"animal-associated habitat"))</f>
        <v>0</v>
      </c>
      <c r="AA404">
        <f>AND(IF(metadata!G404="",FALSE,TRUE),exact(metadata!G404,"mouse"))</f>
        <v>0</v>
      </c>
      <c r="AB404">
        <f>AND(IF(metadata!H404="",FALSE,TRUE),exact(metadata!H404,"Mus musculus"))</f>
        <v>0</v>
      </c>
      <c r="AC404">
        <f>AND(IF(metadata!I404="",FALSE,TRUE),exact(metadata!I404,"10090"))</f>
        <v>0</v>
      </c>
      <c r="AD404">
        <f>OR(AND(IF(metadata!J404="",FALSE,TRUE),OR(exact(metadata!J404,"not applicable"),exact(metadata!J404,"missing: not collected"),exact(metadata!J404,"missing: not provided"),exact(metadata!J404,"missing: restricted access"))),AND(IF(metadata!J404="",FALSE,ISNUMBER(VALUE(metadata!J404))),metadata!J404&gt;0))</f>
        <v>0</v>
      </c>
      <c r="AE404">
        <f>AND(IF(metadata!K404="",FALSE,TRUE),exact(metadata!K404,"g"))</f>
        <v>0</v>
      </c>
    </row>
    <row r="405" spans="1:31">
      <c r="A405" s="5">
        <f>IF(B405=" "," ",HYPERLINK(CONCATENATE("#metadata!",ADDRESS(INDEX($Q$2:$Q$1001,MATCH(ROWS($O$2:O405),$O$2:$O$1001,0),0),1)),INDEX($T$2:$T$1001,MATCH(ROWS($O$2:O405),$O$2:$O$1001,0),0)))</f>
        <v>0</v>
      </c>
      <c r="B405" s="4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4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4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4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4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4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4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4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4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4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OR(AND(IF(metadata!C405="",FALSE,TRUE),OR(exact(metadata!C405,"not applicable"),exact(metadata!C405,"missing: not collected"),exact(metadata!C405,"missing: not provided"),exact(metadata!C405,"missing: restricted access"))),AND(IF(metadata!C405="",FALSE,ISNUMBER(VALUE(metadata!C405))),metadata!C405&gt;0))</f>
        <v>0</v>
      </c>
      <c r="X405">
        <f>AND(IF(metadata!D405="",FALSE,TRUE),exact(metadata!D405,"weeks"))</f>
        <v>0</v>
      </c>
      <c r="Y405">
        <f>AND(IF(metadata!E405="",FALSE,TRUE),exact(metadata!E405,"urban biome"))</f>
        <v>0</v>
      </c>
      <c r="Z405">
        <f>AND(IF(metadata!F405="",FALSE,TRUE),exact(metadata!F405,"animal-associated habitat"))</f>
        <v>0</v>
      </c>
      <c r="AA405">
        <f>AND(IF(metadata!G405="",FALSE,TRUE),exact(metadata!G405,"mouse"))</f>
        <v>0</v>
      </c>
      <c r="AB405">
        <f>AND(IF(metadata!H405="",FALSE,TRUE),exact(metadata!H405,"Mus musculus"))</f>
        <v>0</v>
      </c>
      <c r="AC405">
        <f>AND(IF(metadata!I405="",FALSE,TRUE),exact(metadata!I405,"10090"))</f>
        <v>0</v>
      </c>
      <c r="AD405">
        <f>OR(AND(IF(metadata!J405="",FALSE,TRUE),OR(exact(metadata!J405,"not applicable"),exact(metadata!J405,"missing: not collected"),exact(metadata!J405,"missing: not provided"),exact(metadata!J405,"missing: restricted access"))),AND(IF(metadata!J405="",FALSE,ISNUMBER(VALUE(metadata!J405))),metadata!J405&gt;0))</f>
        <v>0</v>
      </c>
      <c r="AE405">
        <f>AND(IF(metadata!K405="",FALSE,TRUE),exact(metadata!K405,"g"))</f>
        <v>0</v>
      </c>
    </row>
    <row r="406" spans="1:31">
      <c r="A406" s="5">
        <f>IF(B406=" "," ",HYPERLINK(CONCATENATE("#metadata!",ADDRESS(INDEX($Q$2:$Q$1001,MATCH(ROWS($O$2:O406),$O$2:$O$1001,0),0),1)),INDEX($T$2:$T$1001,MATCH(ROWS($O$2:O406),$O$2:$O$1001,0),0)))</f>
        <v>0</v>
      </c>
      <c r="B406" s="4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4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4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4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4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4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4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4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4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4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OR(AND(IF(metadata!C406="",FALSE,TRUE),OR(exact(metadata!C406,"not applicable"),exact(metadata!C406,"missing: not collected"),exact(metadata!C406,"missing: not provided"),exact(metadata!C406,"missing: restricted access"))),AND(IF(metadata!C406="",FALSE,ISNUMBER(VALUE(metadata!C406))),metadata!C406&gt;0))</f>
        <v>0</v>
      </c>
      <c r="X406">
        <f>AND(IF(metadata!D406="",FALSE,TRUE),exact(metadata!D406,"weeks"))</f>
        <v>0</v>
      </c>
      <c r="Y406">
        <f>AND(IF(metadata!E406="",FALSE,TRUE),exact(metadata!E406,"urban biome"))</f>
        <v>0</v>
      </c>
      <c r="Z406">
        <f>AND(IF(metadata!F406="",FALSE,TRUE),exact(metadata!F406,"animal-associated habitat"))</f>
        <v>0</v>
      </c>
      <c r="AA406">
        <f>AND(IF(metadata!G406="",FALSE,TRUE),exact(metadata!G406,"mouse"))</f>
        <v>0</v>
      </c>
      <c r="AB406">
        <f>AND(IF(metadata!H406="",FALSE,TRUE),exact(metadata!H406,"Mus musculus"))</f>
        <v>0</v>
      </c>
      <c r="AC406">
        <f>AND(IF(metadata!I406="",FALSE,TRUE),exact(metadata!I406,"10090"))</f>
        <v>0</v>
      </c>
      <c r="AD406">
        <f>OR(AND(IF(metadata!J406="",FALSE,TRUE),OR(exact(metadata!J406,"not applicable"),exact(metadata!J406,"missing: not collected"),exact(metadata!J406,"missing: not provided"),exact(metadata!J406,"missing: restricted access"))),AND(IF(metadata!J406="",FALSE,ISNUMBER(VALUE(metadata!J406))),metadata!J406&gt;0))</f>
        <v>0</v>
      </c>
      <c r="AE406">
        <f>AND(IF(metadata!K406="",FALSE,TRUE),exact(metadata!K406,"g"))</f>
        <v>0</v>
      </c>
    </row>
    <row r="407" spans="1:31">
      <c r="A407" s="5">
        <f>IF(B407=" "," ",HYPERLINK(CONCATENATE("#metadata!",ADDRESS(INDEX($Q$2:$Q$1001,MATCH(ROWS($O$2:O407),$O$2:$O$1001,0),0),1)),INDEX($T$2:$T$1001,MATCH(ROWS($O$2:O407),$O$2:$O$1001,0),0)))</f>
        <v>0</v>
      </c>
      <c r="B407" s="4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4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4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4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4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4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4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4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4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4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OR(AND(IF(metadata!C407="",FALSE,TRUE),OR(exact(metadata!C407,"not applicable"),exact(metadata!C407,"missing: not collected"),exact(metadata!C407,"missing: not provided"),exact(metadata!C407,"missing: restricted access"))),AND(IF(metadata!C407="",FALSE,ISNUMBER(VALUE(metadata!C407))),metadata!C407&gt;0))</f>
        <v>0</v>
      </c>
      <c r="X407">
        <f>AND(IF(metadata!D407="",FALSE,TRUE),exact(metadata!D407,"weeks"))</f>
        <v>0</v>
      </c>
      <c r="Y407">
        <f>AND(IF(metadata!E407="",FALSE,TRUE),exact(metadata!E407,"urban biome"))</f>
        <v>0</v>
      </c>
      <c r="Z407">
        <f>AND(IF(metadata!F407="",FALSE,TRUE),exact(metadata!F407,"animal-associated habitat"))</f>
        <v>0</v>
      </c>
      <c r="AA407">
        <f>AND(IF(metadata!G407="",FALSE,TRUE),exact(metadata!G407,"mouse"))</f>
        <v>0</v>
      </c>
      <c r="AB407">
        <f>AND(IF(metadata!H407="",FALSE,TRUE),exact(metadata!H407,"Mus musculus"))</f>
        <v>0</v>
      </c>
      <c r="AC407">
        <f>AND(IF(metadata!I407="",FALSE,TRUE),exact(metadata!I407,"10090"))</f>
        <v>0</v>
      </c>
      <c r="AD407">
        <f>OR(AND(IF(metadata!J407="",FALSE,TRUE),OR(exact(metadata!J407,"not applicable"),exact(metadata!J407,"missing: not collected"),exact(metadata!J407,"missing: not provided"),exact(metadata!J407,"missing: restricted access"))),AND(IF(metadata!J407="",FALSE,ISNUMBER(VALUE(metadata!J407))),metadata!J407&gt;0))</f>
        <v>0</v>
      </c>
      <c r="AE407">
        <f>AND(IF(metadata!K407="",FALSE,TRUE),exact(metadata!K407,"g"))</f>
        <v>0</v>
      </c>
    </row>
    <row r="408" spans="1:31">
      <c r="A408" s="5">
        <f>IF(B408=" "," ",HYPERLINK(CONCATENATE("#metadata!",ADDRESS(INDEX($Q$2:$Q$1001,MATCH(ROWS($O$2:O408),$O$2:$O$1001,0),0),1)),INDEX($T$2:$T$1001,MATCH(ROWS($O$2:O408),$O$2:$O$1001,0),0)))</f>
        <v>0</v>
      </c>
      <c r="B408" s="4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4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4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4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4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4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4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4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4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4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OR(AND(IF(metadata!C408="",FALSE,TRUE),OR(exact(metadata!C408,"not applicable"),exact(metadata!C408,"missing: not collected"),exact(metadata!C408,"missing: not provided"),exact(metadata!C408,"missing: restricted access"))),AND(IF(metadata!C408="",FALSE,ISNUMBER(VALUE(metadata!C408))),metadata!C408&gt;0))</f>
        <v>0</v>
      </c>
      <c r="X408">
        <f>AND(IF(metadata!D408="",FALSE,TRUE),exact(metadata!D408,"weeks"))</f>
        <v>0</v>
      </c>
      <c r="Y408">
        <f>AND(IF(metadata!E408="",FALSE,TRUE),exact(metadata!E408,"urban biome"))</f>
        <v>0</v>
      </c>
      <c r="Z408">
        <f>AND(IF(metadata!F408="",FALSE,TRUE),exact(metadata!F408,"animal-associated habitat"))</f>
        <v>0</v>
      </c>
      <c r="AA408">
        <f>AND(IF(metadata!G408="",FALSE,TRUE),exact(metadata!G408,"mouse"))</f>
        <v>0</v>
      </c>
      <c r="AB408">
        <f>AND(IF(metadata!H408="",FALSE,TRUE),exact(metadata!H408,"Mus musculus"))</f>
        <v>0</v>
      </c>
      <c r="AC408">
        <f>AND(IF(metadata!I408="",FALSE,TRUE),exact(metadata!I408,"10090"))</f>
        <v>0</v>
      </c>
      <c r="AD408">
        <f>OR(AND(IF(metadata!J408="",FALSE,TRUE),OR(exact(metadata!J408,"not applicable"),exact(metadata!J408,"missing: not collected"),exact(metadata!J408,"missing: not provided"),exact(metadata!J408,"missing: restricted access"))),AND(IF(metadata!J408="",FALSE,ISNUMBER(VALUE(metadata!J408))),metadata!J408&gt;0))</f>
        <v>0</v>
      </c>
      <c r="AE408">
        <f>AND(IF(metadata!K408="",FALSE,TRUE),exact(metadata!K408,"g"))</f>
        <v>0</v>
      </c>
    </row>
    <row r="409" spans="1:31">
      <c r="A409" s="5">
        <f>IF(B409=" "," ",HYPERLINK(CONCATENATE("#metadata!",ADDRESS(INDEX($Q$2:$Q$1001,MATCH(ROWS($O$2:O409),$O$2:$O$1001,0),0),1)),INDEX($T$2:$T$1001,MATCH(ROWS($O$2:O409),$O$2:$O$1001,0),0)))</f>
        <v>0</v>
      </c>
      <c r="B409" s="4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4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4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4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4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4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4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4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4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4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OR(AND(IF(metadata!C409="",FALSE,TRUE),OR(exact(metadata!C409,"not applicable"),exact(metadata!C409,"missing: not collected"),exact(metadata!C409,"missing: not provided"),exact(metadata!C409,"missing: restricted access"))),AND(IF(metadata!C409="",FALSE,ISNUMBER(VALUE(metadata!C409))),metadata!C409&gt;0))</f>
        <v>0</v>
      </c>
      <c r="X409">
        <f>AND(IF(metadata!D409="",FALSE,TRUE),exact(metadata!D409,"weeks"))</f>
        <v>0</v>
      </c>
      <c r="Y409">
        <f>AND(IF(metadata!E409="",FALSE,TRUE),exact(metadata!E409,"urban biome"))</f>
        <v>0</v>
      </c>
      <c r="Z409">
        <f>AND(IF(metadata!F409="",FALSE,TRUE),exact(metadata!F409,"animal-associated habitat"))</f>
        <v>0</v>
      </c>
      <c r="AA409">
        <f>AND(IF(metadata!G409="",FALSE,TRUE),exact(metadata!G409,"mouse"))</f>
        <v>0</v>
      </c>
      <c r="AB409">
        <f>AND(IF(metadata!H409="",FALSE,TRUE),exact(metadata!H409,"Mus musculus"))</f>
        <v>0</v>
      </c>
      <c r="AC409">
        <f>AND(IF(metadata!I409="",FALSE,TRUE),exact(metadata!I409,"10090"))</f>
        <v>0</v>
      </c>
      <c r="AD409">
        <f>OR(AND(IF(metadata!J409="",FALSE,TRUE),OR(exact(metadata!J409,"not applicable"),exact(metadata!J409,"missing: not collected"),exact(metadata!J409,"missing: not provided"),exact(metadata!J409,"missing: restricted access"))),AND(IF(metadata!J409="",FALSE,ISNUMBER(VALUE(metadata!J409))),metadata!J409&gt;0))</f>
        <v>0</v>
      </c>
      <c r="AE409">
        <f>AND(IF(metadata!K409="",FALSE,TRUE),exact(metadata!K409,"g"))</f>
        <v>0</v>
      </c>
    </row>
    <row r="410" spans="1:31">
      <c r="A410" s="5">
        <f>IF(B410=" "," ",HYPERLINK(CONCATENATE("#metadata!",ADDRESS(INDEX($Q$2:$Q$1001,MATCH(ROWS($O$2:O410),$O$2:$O$1001,0),0),1)),INDEX($T$2:$T$1001,MATCH(ROWS($O$2:O410),$O$2:$O$1001,0),0)))</f>
        <v>0</v>
      </c>
      <c r="B410" s="4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4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4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4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4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4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4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4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4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4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OR(AND(IF(metadata!C410="",FALSE,TRUE),OR(exact(metadata!C410,"not applicable"),exact(metadata!C410,"missing: not collected"),exact(metadata!C410,"missing: not provided"),exact(metadata!C410,"missing: restricted access"))),AND(IF(metadata!C410="",FALSE,ISNUMBER(VALUE(metadata!C410))),metadata!C410&gt;0))</f>
        <v>0</v>
      </c>
      <c r="X410">
        <f>AND(IF(metadata!D410="",FALSE,TRUE),exact(metadata!D410,"weeks"))</f>
        <v>0</v>
      </c>
      <c r="Y410">
        <f>AND(IF(metadata!E410="",FALSE,TRUE),exact(metadata!E410,"urban biome"))</f>
        <v>0</v>
      </c>
      <c r="Z410">
        <f>AND(IF(metadata!F410="",FALSE,TRUE),exact(metadata!F410,"animal-associated habitat"))</f>
        <v>0</v>
      </c>
      <c r="AA410">
        <f>AND(IF(metadata!G410="",FALSE,TRUE),exact(metadata!G410,"mouse"))</f>
        <v>0</v>
      </c>
      <c r="AB410">
        <f>AND(IF(metadata!H410="",FALSE,TRUE),exact(metadata!H410,"Mus musculus"))</f>
        <v>0</v>
      </c>
      <c r="AC410">
        <f>AND(IF(metadata!I410="",FALSE,TRUE),exact(metadata!I410,"10090"))</f>
        <v>0</v>
      </c>
      <c r="AD410">
        <f>OR(AND(IF(metadata!J410="",FALSE,TRUE),OR(exact(metadata!J410,"not applicable"),exact(metadata!J410,"missing: not collected"),exact(metadata!J410,"missing: not provided"),exact(metadata!J410,"missing: restricted access"))),AND(IF(metadata!J410="",FALSE,ISNUMBER(VALUE(metadata!J410))),metadata!J410&gt;0))</f>
        <v>0</v>
      </c>
      <c r="AE410">
        <f>AND(IF(metadata!K410="",FALSE,TRUE),exact(metadata!K410,"g"))</f>
        <v>0</v>
      </c>
    </row>
    <row r="411" spans="1:31">
      <c r="A411" s="5">
        <f>IF(B411=" "," ",HYPERLINK(CONCATENATE("#metadata!",ADDRESS(INDEX($Q$2:$Q$1001,MATCH(ROWS($O$2:O411),$O$2:$O$1001,0),0),1)),INDEX($T$2:$T$1001,MATCH(ROWS($O$2:O411),$O$2:$O$1001,0),0)))</f>
        <v>0</v>
      </c>
      <c r="B411" s="4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4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4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4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4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4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4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4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4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4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OR(AND(IF(metadata!C411="",FALSE,TRUE),OR(exact(metadata!C411,"not applicable"),exact(metadata!C411,"missing: not collected"),exact(metadata!C411,"missing: not provided"),exact(metadata!C411,"missing: restricted access"))),AND(IF(metadata!C411="",FALSE,ISNUMBER(VALUE(metadata!C411))),metadata!C411&gt;0))</f>
        <v>0</v>
      </c>
      <c r="X411">
        <f>AND(IF(metadata!D411="",FALSE,TRUE),exact(metadata!D411,"weeks"))</f>
        <v>0</v>
      </c>
      <c r="Y411">
        <f>AND(IF(metadata!E411="",FALSE,TRUE),exact(metadata!E411,"urban biome"))</f>
        <v>0</v>
      </c>
      <c r="Z411">
        <f>AND(IF(metadata!F411="",FALSE,TRUE),exact(metadata!F411,"animal-associated habitat"))</f>
        <v>0</v>
      </c>
      <c r="AA411">
        <f>AND(IF(metadata!G411="",FALSE,TRUE),exact(metadata!G411,"mouse"))</f>
        <v>0</v>
      </c>
      <c r="AB411">
        <f>AND(IF(metadata!H411="",FALSE,TRUE),exact(metadata!H411,"Mus musculus"))</f>
        <v>0</v>
      </c>
      <c r="AC411">
        <f>AND(IF(metadata!I411="",FALSE,TRUE),exact(metadata!I411,"10090"))</f>
        <v>0</v>
      </c>
      <c r="AD411">
        <f>OR(AND(IF(metadata!J411="",FALSE,TRUE),OR(exact(metadata!J411,"not applicable"),exact(metadata!J411,"missing: not collected"),exact(metadata!J411,"missing: not provided"),exact(metadata!J411,"missing: restricted access"))),AND(IF(metadata!J411="",FALSE,ISNUMBER(VALUE(metadata!J411))),metadata!J411&gt;0))</f>
        <v>0</v>
      </c>
      <c r="AE411">
        <f>AND(IF(metadata!K411="",FALSE,TRUE),exact(metadata!K411,"g"))</f>
        <v>0</v>
      </c>
    </row>
    <row r="412" spans="1:31">
      <c r="A412" s="5">
        <f>IF(B412=" "," ",HYPERLINK(CONCATENATE("#metadata!",ADDRESS(INDEX($Q$2:$Q$1001,MATCH(ROWS($O$2:O412),$O$2:$O$1001,0),0),1)),INDEX($T$2:$T$1001,MATCH(ROWS($O$2:O412),$O$2:$O$1001,0),0)))</f>
        <v>0</v>
      </c>
      <c r="B412" s="4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4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4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4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4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4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4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4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4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4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OR(AND(IF(metadata!C412="",FALSE,TRUE),OR(exact(metadata!C412,"not applicable"),exact(metadata!C412,"missing: not collected"),exact(metadata!C412,"missing: not provided"),exact(metadata!C412,"missing: restricted access"))),AND(IF(metadata!C412="",FALSE,ISNUMBER(VALUE(metadata!C412))),metadata!C412&gt;0))</f>
        <v>0</v>
      </c>
      <c r="X412">
        <f>AND(IF(metadata!D412="",FALSE,TRUE),exact(metadata!D412,"weeks"))</f>
        <v>0</v>
      </c>
      <c r="Y412">
        <f>AND(IF(metadata!E412="",FALSE,TRUE),exact(metadata!E412,"urban biome"))</f>
        <v>0</v>
      </c>
      <c r="Z412">
        <f>AND(IF(metadata!F412="",FALSE,TRUE),exact(metadata!F412,"animal-associated habitat"))</f>
        <v>0</v>
      </c>
      <c r="AA412">
        <f>AND(IF(metadata!G412="",FALSE,TRUE),exact(metadata!G412,"mouse"))</f>
        <v>0</v>
      </c>
      <c r="AB412">
        <f>AND(IF(metadata!H412="",FALSE,TRUE),exact(metadata!H412,"Mus musculus"))</f>
        <v>0</v>
      </c>
      <c r="AC412">
        <f>AND(IF(metadata!I412="",FALSE,TRUE),exact(metadata!I412,"10090"))</f>
        <v>0</v>
      </c>
      <c r="AD412">
        <f>OR(AND(IF(metadata!J412="",FALSE,TRUE),OR(exact(metadata!J412,"not applicable"),exact(metadata!J412,"missing: not collected"),exact(metadata!J412,"missing: not provided"),exact(metadata!J412,"missing: restricted access"))),AND(IF(metadata!J412="",FALSE,ISNUMBER(VALUE(metadata!J412))),metadata!J412&gt;0))</f>
        <v>0</v>
      </c>
      <c r="AE412">
        <f>AND(IF(metadata!K412="",FALSE,TRUE),exact(metadata!K412,"g"))</f>
        <v>0</v>
      </c>
    </row>
    <row r="413" spans="1:31">
      <c r="A413" s="5">
        <f>IF(B413=" "," ",HYPERLINK(CONCATENATE("#metadata!",ADDRESS(INDEX($Q$2:$Q$1001,MATCH(ROWS($O$2:O413),$O$2:$O$1001,0),0),1)),INDEX($T$2:$T$1001,MATCH(ROWS($O$2:O413),$O$2:$O$1001,0),0)))</f>
        <v>0</v>
      </c>
      <c r="B413" s="4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4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4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4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4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4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4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4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4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4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OR(AND(IF(metadata!C413="",FALSE,TRUE),OR(exact(metadata!C413,"not applicable"),exact(metadata!C413,"missing: not collected"),exact(metadata!C413,"missing: not provided"),exact(metadata!C413,"missing: restricted access"))),AND(IF(metadata!C413="",FALSE,ISNUMBER(VALUE(metadata!C413))),metadata!C413&gt;0))</f>
        <v>0</v>
      </c>
      <c r="X413">
        <f>AND(IF(metadata!D413="",FALSE,TRUE),exact(metadata!D413,"weeks"))</f>
        <v>0</v>
      </c>
      <c r="Y413">
        <f>AND(IF(metadata!E413="",FALSE,TRUE),exact(metadata!E413,"urban biome"))</f>
        <v>0</v>
      </c>
      <c r="Z413">
        <f>AND(IF(metadata!F413="",FALSE,TRUE),exact(metadata!F413,"animal-associated habitat"))</f>
        <v>0</v>
      </c>
      <c r="AA413">
        <f>AND(IF(metadata!G413="",FALSE,TRUE),exact(metadata!G413,"mouse"))</f>
        <v>0</v>
      </c>
      <c r="AB413">
        <f>AND(IF(metadata!H413="",FALSE,TRUE),exact(metadata!H413,"Mus musculus"))</f>
        <v>0</v>
      </c>
      <c r="AC413">
        <f>AND(IF(metadata!I413="",FALSE,TRUE),exact(metadata!I413,"10090"))</f>
        <v>0</v>
      </c>
      <c r="AD413">
        <f>OR(AND(IF(metadata!J413="",FALSE,TRUE),OR(exact(metadata!J413,"not applicable"),exact(metadata!J413,"missing: not collected"),exact(metadata!J413,"missing: not provided"),exact(metadata!J413,"missing: restricted access"))),AND(IF(metadata!J413="",FALSE,ISNUMBER(VALUE(metadata!J413))),metadata!J413&gt;0))</f>
        <v>0</v>
      </c>
      <c r="AE413">
        <f>AND(IF(metadata!K413="",FALSE,TRUE),exact(metadata!K413,"g"))</f>
        <v>0</v>
      </c>
    </row>
    <row r="414" spans="1:31">
      <c r="A414" s="5">
        <f>IF(B414=" "," ",HYPERLINK(CONCATENATE("#metadata!",ADDRESS(INDEX($Q$2:$Q$1001,MATCH(ROWS($O$2:O414),$O$2:$O$1001,0),0),1)),INDEX($T$2:$T$1001,MATCH(ROWS($O$2:O414),$O$2:$O$1001,0),0)))</f>
        <v>0</v>
      </c>
      <c r="B414" s="4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4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4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4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4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4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4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4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4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4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OR(AND(IF(metadata!C414="",FALSE,TRUE),OR(exact(metadata!C414,"not applicable"),exact(metadata!C414,"missing: not collected"),exact(metadata!C414,"missing: not provided"),exact(metadata!C414,"missing: restricted access"))),AND(IF(metadata!C414="",FALSE,ISNUMBER(VALUE(metadata!C414))),metadata!C414&gt;0))</f>
        <v>0</v>
      </c>
      <c r="X414">
        <f>AND(IF(metadata!D414="",FALSE,TRUE),exact(metadata!D414,"weeks"))</f>
        <v>0</v>
      </c>
      <c r="Y414">
        <f>AND(IF(metadata!E414="",FALSE,TRUE),exact(metadata!E414,"urban biome"))</f>
        <v>0</v>
      </c>
      <c r="Z414">
        <f>AND(IF(metadata!F414="",FALSE,TRUE),exact(metadata!F414,"animal-associated habitat"))</f>
        <v>0</v>
      </c>
      <c r="AA414">
        <f>AND(IF(metadata!G414="",FALSE,TRUE),exact(metadata!G414,"mouse"))</f>
        <v>0</v>
      </c>
      <c r="AB414">
        <f>AND(IF(metadata!H414="",FALSE,TRUE),exact(metadata!H414,"Mus musculus"))</f>
        <v>0</v>
      </c>
      <c r="AC414">
        <f>AND(IF(metadata!I414="",FALSE,TRUE),exact(metadata!I414,"10090"))</f>
        <v>0</v>
      </c>
      <c r="AD414">
        <f>OR(AND(IF(metadata!J414="",FALSE,TRUE),OR(exact(metadata!J414,"not applicable"),exact(metadata!J414,"missing: not collected"),exact(metadata!J414,"missing: not provided"),exact(metadata!J414,"missing: restricted access"))),AND(IF(metadata!J414="",FALSE,ISNUMBER(VALUE(metadata!J414))),metadata!J414&gt;0))</f>
        <v>0</v>
      </c>
      <c r="AE414">
        <f>AND(IF(metadata!K414="",FALSE,TRUE),exact(metadata!K414,"g"))</f>
        <v>0</v>
      </c>
    </row>
    <row r="415" spans="1:31">
      <c r="A415" s="5">
        <f>IF(B415=" "," ",HYPERLINK(CONCATENATE("#metadata!",ADDRESS(INDEX($Q$2:$Q$1001,MATCH(ROWS($O$2:O415),$O$2:$O$1001,0),0),1)),INDEX($T$2:$T$1001,MATCH(ROWS($O$2:O415),$O$2:$O$1001,0),0)))</f>
        <v>0</v>
      </c>
      <c r="B415" s="4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4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4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4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4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4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4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4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4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4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OR(AND(IF(metadata!C415="",FALSE,TRUE),OR(exact(metadata!C415,"not applicable"),exact(metadata!C415,"missing: not collected"),exact(metadata!C415,"missing: not provided"),exact(metadata!C415,"missing: restricted access"))),AND(IF(metadata!C415="",FALSE,ISNUMBER(VALUE(metadata!C415))),metadata!C415&gt;0))</f>
        <v>0</v>
      </c>
      <c r="X415">
        <f>AND(IF(metadata!D415="",FALSE,TRUE),exact(metadata!D415,"weeks"))</f>
        <v>0</v>
      </c>
      <c r="Y415">
        <f>AND(IF(metadata!E415="",FALSE,TRUE),exact(metadata!E415,"urban biome"))</f>
        <v>0</v>
      </c>
      <c r="Z415">
        <f>AND(IF(metadata!F415="",FALSE,TRUE),exact(metadata!F415,"animal-associated habitat"))</f>
        <v>0</v>
      </c>
      <c r="AA415">
        <f>AND(IF(metadata!G415="",FALSE,TRUE),exact(metadata!G415,"mouse"))</f>
        <v>0</v>
      </c>
      <c r="AB415">
        <f>AND(IF(metadata!H415="",FALSE,TRUE),exact(metadata!H415,"Mus musculus"))</f>
        <v>0</v>
      </c>
      <c r="AC415">
        <f>AND(IF(metadata!I415="",FALSE,TRUE),exact(metadata!I415,"10090"))</f>
        <v>0</v>
      </c>
      <c r="AD415">
        <f>OR(AND(IF(metadata!J415="",FALSE,TRUE),OR(exact(metadata!J415,"not applicable"),exact(metadata!J415,"missing: not collected"),exact(metadata!J415,"missing: not provided"),exact(metadata!J415,"missing: restricted access"))),AND(IF(metadata!J415="",FALSE,ISNUMBER(VALUE(metadata!J415))),metadata!J415&gt;0))</f>
        <v>0</v>
      </c>
      <c r="AE415">
        <f>AND(IF(metadata!K415="",FALSE,TRUE),exact(metadata!K415,"g"))</f>
        <v>0</v>
      </c>
    </row>
    <row r="416" spans="1:31">
      <c r="A416" s="5">
        <f>IF(B416=" "," ",HYPERLINK(CONCATENATE("#metadata!",ADDRESS(INDEX($Q$2:$Q$1001,MATCH(ROWS($O$2:O416),$O$2:$O$1001,0),0),1)),INDEX($T$2:$T$1001,MATCH(ROWS($O$2:O416),$O$2:$O$1001,0),0)))</f>
        <v>0</v>
      </c>
      <c r="B416" s="4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4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4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4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4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4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4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4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4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4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OR(AND(IF(metadata!C416="",FALSE,TRUE),OR(exact(metadata!C416,"not applicable"),exact(metadata!C416,"missing: not collected"),exact(metadata!C416,"missing: not provided"),exact(metadata!C416,"missing: restricted access"))),AND(IF(metadata!C416="",FALSE,ISNUMBER(VALUE(metadata!C416))),metadata!C416&gt;0))</f>
        <v>0</v>
      </c>
      <c r="X416">
        <f>AND(IF(metadata!D416="",FALSE,TRUE),exact(metadata!D416,"weeks"))</f>
        <v>0</v>
      </c>
      <c r="Y416">
        <f>AND(IF(metadata!E416="",FALSE,TRUE),exact(metadata!E416,"urban biome"))</f>
        <v>0</v>
      </c>
      <c r="Z416">
        <f>AND(IF(metadata!F416="",FALSE,TRUE),exact(metadata!F416,"animal-associated habitat"))</f>
        <v>0</v>
      </c>
      <c r="AA416">
        <f>AND(IF(metadata!G416="",FALSE,TRUE),exact(metadata!G416,"mouse"))</f>
        <v>0</v>
      </c>
      <c r="AB416">
        <f>AND(IF(metadata!H416="",FALSE,TRUE),exact(metadata!H416,"Mus musculus"))</f>
        <v>0</v>
      </c>
      <c r="AC416">
        <f>AND(IF(metadata!I416="",FALSE,TRUE),exact(metadata!I416,"10090"))</f>
        <v>0</v>
      </c>
      <c r="AD416">
        <f>OR(AND(IF(metadata!J416="",FALSE,TRUE),OR(exact(metadata!J416,"not applicable"),exact(metadata!J416,"missing: not collected"),exact(metadata!J416,"missing: not provided"),exact(metadata!J416,"missing: restricted access"))),AND(IF(metadata!J416="",FALSE,ISNUMBER(VALUE(metadata!J416))),metadata!J416&gt;0))</f>
        <v>0</v>
      </c>
      <c r="AE416">
        <f>AND(IF(metadata!K416="",FALSE,TRUE),exact(metadata!K416,"g"))</f>
        <v>0</v>
      </c>
    </row>
    <row r="417" spans="1:31">
      <c r="A417" s="5">
        <f>IF(B417=" "," ",HYPERLINK(CONCATENATE("#metadata!",ADDRESS(INDEX($Q$2:$Q$1001,MATCH(ROWS($O$2:O417),$O$2:$O$1001,0),0),1)),INDEX($T$2:$T$1001,MATCH(ROWS($O$2:O417),$O$2:$O$1001,0),0)))</f>
        <v>0</v>
      </c>
      <c r="B417" s="4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4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4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4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4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4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4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4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4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4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OR(AND(IF(metadata!C417="",FALSE,TRUE),OR(exact(metadata!C417,"not applicable"),exact(metadata!C417,"missing: not collected"),exact(metadata!C417,"missing: not provided"),exact(metadata!C417,"missing: restricted access"))),AND(IF(metadata!C417="",FALSE,ISNUMBER(VALUE(metadata!C417))),metadata!C417&gt;0))</f>
        <v>0</v>
      </c>
      <c r="X417">
        <f>AND(IF(metadata!D417="",FALSE,TRUE),exact(metadata!D417,"weeks"))</f>
        <v>0</v>
      </c>
      <c r="Y417">
        <f>AND(IF(metadata!E417="",FALSE,TRUE),exact(metadata!E417,"urban biome"))</f>
        <v>0</v>
      </c>
      <c r="Z417">
        <f>AND(IF(metadata!F417="",FALSE,TRUE),exact(metadata!F417,"animal-associated habitat"))</f>
        <v>0</v>
      </c>
      <c r="AA417">
        <f>AND(IF(metadata!G417="",FALSE,TRUE),exact(metadata!G417,"mouse"))</f>
        <v>0</v>
      </c>
      <c r="AB417">
        <f>AND(IF(metadata!H417="",FALSE,TRUE),exact(metadata!H417,"Mus musculus"))</f>
        <v>0</v>
      </c>
      <c r="AC417">
        <f>AND(IF(metadata!I417="",FALSE,TRUE),exact(metadata!I417,"10090"))</f>
        <v>0</v>
      </c>
      <c r="AD417">
        <f>OR(AND(IF(metadata!J417="",FALSE,TRUE),OR(exact(metadata!J417,"not applicable"),exact(metadata!J417,"missing: not collected"),exact(metadata!J417,"missing: not provided"),exact(metadata!J417,"missing: restricted access"))),AND(IF(metadata!J417="",FALSE,ISNUMBER(VALUE(metadata!J417))),metadata!J417&gt;0))</f>
        <v>0</v>
      </c>
      <c r="AE417">
        <f>AND(IF(metadata!K417="",FALSE,TRUE),exact(metadata!K417,"g"))</f>
        <v>0</v>
      </c>
    </row>
    <row r="418" spans="1:31">
      <c r="A418" s="5">
        <f>IF(B418=" "," ",HYPERLINK(CONCATENATE("#metadata!",ADDRESS(INDEX($Q$2:$Q$1001,MATCH(ROWS($O$2:O418),$O$2:$O$1001,0),0),1)),INDEX($T$2:$T$1001,MATCH(ROWS($O$2:O418),$O$2:$O$1001,0),0)))</f>
        <v>0</v>
      </c>
      <c r="B418" s="4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4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4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4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4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4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4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4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4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4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OR(AND(IF(metadata!C418="",FALSE,TRUE),OR(exact(metadata!C418,"not applicable"),exact(metadata!C418,"missing: not collected"),exact(metadata!C418,"missing: not provided"),exact(metadata!C418,"missing: restricted access"))),AND(IF(metadata!C418="",FALSE,ISNUMBER(VALUE(metadata!C418))),metadata!C418&gt;0))</f>
        <v>0</v>
      </c>
      <c r="X418">
        <f>AND(IF(metadata!D418="",FALSE,TRUE),exact(metadata!D418,"weeks"))</f>
        <v>0</v>
      </c>
      <c r="Y418">
        <f>AND(IF(metadata!E418="",FALSE,TRUE),exact(metadata!E418,"urban biome"))</f>
        <v>0</v>
      </c>
      <c r="Z418">
        <f>AND(IF(metadata!F418="",FALSE,TRUE),exact(metadata!F418,"animal-associated habitat"))</f>
        <v>0</v>
      </c>
      <c r="AA418">
        <f>AND(IF(metadata!G418="",FALSE,TRUE),exact(metadata!G418,"mouse"))</f>
        <v>0</v>
      </c>
      <c r="AB418">
        <f>AND(IF(metadata!H418="",FALSE,TRUE),exact(metadata!H418,"Mus musculus"))</f>
        <v>0</v>
      </c>
      <c r="AC418">
        <f>AND(IF(metadata!I418="",FALSE,TRUE),exact(metadata!I418,"10090"))</f>
        <v>0</v>
      </c>
      <c r="AD418">
        <f>OR(AND(IF(metadata!J418="",FALSE,TRUE),OR(exact(metadata!J418,"not applicable"),exact(metadata!J418,"missing: not collected"),exact(metadata!J418,"missing: not provided"),exact(metadata!J418,"missing: restricted access"))),AND(IF(metadata!J418="",FALSE,ISNUMBER(VALUE(metadata!J418))),metadata!J418&gt;0))</f>
        <v>0</v>
      </c>
      <c r="AE418">
        <f>AND(IF(metadata!K418="",FALSE,TRUE),exact(metadata!K418,"g"))</f>
        <v>0</v>
      </c>
    </row>
    <row r="419" spans="1:31">
      <c r="A419" s="5">
        <f>IF(B419=" "," ",HYPERLINK(CONCATENATE("#metadata!",ADDRESS(INDEX($Q$2:$Q$1001,MATCH(ROWS($O$2:O419),$O$2:$O$1001,0),0),1)),INDEX($T$2:$T$1001,MATCH(ROWS($O$2:O419),$O$2:$O$1001,0),0)))</f>
        <v>0</v>
      </c>
      <c r="B419" s="4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4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4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4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4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4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4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4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4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4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OR(AND(IF(metadata!C419="",FALSE,TRUE),OR(exact(metadata!C419,"not applicable"),exact(metadata!C419,"missing: not collected"),exact(metadata!C419,"missing: not provided"),exact(metadata!C419,"missing: restricted access"))),AND(IF(metadata!C419="",FALSE,ISNUMBER(VALUE(metadata!C419))),metadata!C419&gt;0))</f>
        <v>0</v>
      </c>
      <c r="X419">
        <f>AND(IF(metadata!D419="",FALSE,TRUE),exact(metadata!D419,"weeks"))</f>
        <v>0</v>
      </c>
      <c r="Y419">
        <f>AND(IF(metadata!E419="",FALSE,TRUE),exact(metadata!E419,"urban biome"))</f>
        <v>0</v>
      </c>
      <c r="Z419">
        <f>AND(IF(metadata!F419="",FALSE,TRUE),exact(metadata!F419,"animal-associated habitat"))</f>
        <v>0</v>
      </c>
      <c r="AA419">
        <f>AND(IF(metadata!G419="",FALSE,TRUE),exact(metadata!G419,"mouse"))</f>
        <v>0</v>
      </c>
      <c r="AB419">
        <f>AND(IF(metadata!H419="",FALSE,TRUE),exact(metadata!H419,"Mus musculus"))</f>
        <v>0</v>
      </c>
      <c r="AC419">
        <f>AND(IF(metadata!I419="",FALSE,TRUE),exact(metadata!I419,"10090"))</f>
        <v>0</v>
      </c>
      <c r="AD419">
        <f>OR(AND(IF(metadata!J419="",FALSE,TRUE),OR(exact(metadata!J419,"not applicable"),exact(metadata!J419,"missing: not collected"),exact(metadata!J419,"missing: not provided"),exact(metadata!J419,"missing: restricted access"))),AND(IF(metadata!J419="",FALSE,ISNUMBER(VALUE(metadata!J419))),metadata!J419&gt;0))</f>
        <v>0</v>
      </c>
      <c r="AE419">
        <f>AND(IF(metadata!K419="",FALSE,TRUE),exact(metadata!K419,"g"))</f>
        <v>0</v>
      </c>
    </row>
    <row r="420" spans="1:31">
      <c r="A420" s="5">
        <f>IF(B420=" "," ",HYPERLINK(CONCATENATE("#metadata!",ADDRESS(INDEX($Q$2:$Q$1001,MATCH(ROWS($O$2:O420),$O$2:$O$1001,0),0),1)),INDEX($T$2:$T$1001,MATCH(ROWS($O$2:O420),$O$2:$O$1001,0),0)))</f>
        <v>0</v>
      </c>
      <c r="B420" s="4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4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4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4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4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4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4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4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4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4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OR(AND(IF(metadata!C420="",FALSE,TRUE),OR(exact(metadata!C420,"not applicable"),exact(metadata!C420,"missing: not collected"),exact(metadata!C420,"missing: not provided"),exact(metadata!C420,"missing: restricted access"))),AND(IF(metadata!C420="",FALSE,ISNUMBER(VALUE(metadata!C420))),metadata!C420&gt;0))</f>
        <v>0</v>
      </c>
      <c r="X420">
        <f>AND(IF(metadata!D420="",FALSE,TRUE),exact(metadata!D420,"weeks"))</f>
        <v>0</v>
      </c>
      <c r="Y420">
        <f>AND(IF(metadata!E420="",FALSE,TRUE),exact(metadata!E420,"urban biome"))</f>
        <v>0</v>
      </c>
      <c r="Z420">
        <f>AND(IF(metadata!F420="",FALSE,TRUE),exact(metadata!F420,"animal-associated habitat"))</f>
        <v>0</v>
      </c>
      <c r="AA420">
        <f>AND(IF(metadata!G420="",FALSE,TRUE),exact(metadata!G420,"mouse"))</f>
        <v>0</v>
      </c>
      <c r="AB420">
        <f>AND(IF(metadata!H420="",FALSE,TRUE),exact(metadata!H420,"Mus musculus"))</f>
        <v>0</v>
      </c>
      <c r="AC420">
        <f>AND(IF(metadata!I420="",FALSE,TRUE),exact(metadata!I420,"10090"))</f>
        <v>0</v>
      </c>
      <c r="AD420">
        <f>OR(AND(IF(metadata!J420="",FALSE,TRUE),OR(exact(metadata!J420,"not applicable"),exact(metadata!J420,"missing: not collected"),exact(metadata!J420,"missing: not provided"),exact(metadata!J420,"missing: restricted access"))),AND(IF(metadata!J420="",FALSE,ISNUMBER(VALUE(metadata!J420))),metadata!J420&gt;0))</f>
        <v>0</v>
      </c>
      <c r="AE420">
        <f>AND(IF(metadata!K420="",FALSE,TRUE),exact(metadata!K420,"g"))</f>
        <v>0</v>
      </c>
    </row>
    <row r="421" spans="1:31">
      <c r="A421" s="5">
        <f>IF(B421=" "," ",HYPERLINK(CONCATENATE("#metadata!",ADDRESS(INDEX($Q$2:$Q$1001,MATCH(ROWS($O$2:O421),$O$2:$O$1001,0),0),1)),INDEX($T$2:$T$1001,MATCH(ROWS($O$2:O421),$O$2:$O$1001,0),0)))</f>
        <v>0</v>
      </c>
      <c r="B421" s="4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4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4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4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4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4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4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4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4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4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OR(AND(IF(metadata!C421="",FALSE,TRUE),OR(exact(metadata!C421,"not applicable"),exact(metadata!C421,"missing: not collected"),exact(metadata!C421,"missing: not provided"),exact(metadata!C421,"missing: restricted access"))),AND(IF(metadata!C421="",FALSE,ISNUMBER(VALUE(metadata!C421))),metadata!C421&gt;0))</f>
        <v>0</v>
      </c>
      <c r="X421">
        <f>AND(IF(metadata!D421="",FALSE,TRUE),exact(metadata!D421,"weeks"))</f>
        <v>0</v>
      </c>
      <c r="Y421">
        <f>AND(IF(metadata!E421="",FALSE,TRUE),exact(metadata!E421,"urban biome"))</f>
        <v>0</v>
      </c>
      <c r="Z421">
        <f>AND(IF(metadata!F421="",FALSE,TRUE),exact(metadata!F421,"animal-associated habitat"))</f>
        <v>0</v>
      </c>
      <c r="AA421">
        <f>AND(IF(metadata!G421="",FALSE,TRUE),exact(metadata!G421,"mouse"))</f>
        <v>0</v>
      </c>
      <c r="AB421">
        <f>AND(IF(metadata!H421="",FALSE,TRUE),exact(metadata!H421,"Mus musculus"))</f>
        <v>0</v>
      </c>
      <c r="AC421">
        <f>AND(IF(metadata!I421="",FALSE,TRUE),exact(metadata!I421,"10090"))</f>
        <v>0</v>
      </c>
      <c r="AD421">
        <f>OR(AND(IF(metadata!J421="",FALSE,TRUE),OR(exact(metadata!J421,"not applicable"),exact(metadata!J421,"missing: not collected"),exact(metadata!J421,"missing: not provided"),exact(metadata!J421,"missing: restricted access"))),AND(IF(metadata!J421="",FALSE,ISNUMBER(VALUE(metadata!J421))),metadata!J421&gt;0))</f>
        <v>0</v>
      </c>
      <c r="AE421">
        <f>AND(IF(metadata!K421="",FALSE,TRUE),exact(metadata!K421,"g"))</f>
        <v>0</v>
      </c>
    </row>
    <row r="422" spans="1:31">
      <c r="A422" s="5">
        <f>IF(B422=" "," ",HYPERLINK(CONCATENATE("#metadata!",ADDRESS(INDEX($Q$2:$Q$1001,MATCH(ROWS($O$2:O422),$O$2:$O$1001,0),0),1)),INDEX($T$2:$T$1001,MATCH(ROWS($O$2:O422),$O$2:$O$1001,0),0)))</f>
        <v>0</v>
      </c>
      <c r="B422" s="4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4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4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4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4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4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4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4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4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4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OR(AND(IF(metadata!C422="",FALSE,TRUE),OR(exact(metadata!C422,"not applicable"),exact(metadata!C422,"missing: not collected"),exact(metadata!C422,"missing: not provided"),exact(metadata!C422,"missing: restricted access"))),AND(IF(metadata!C422="",FALSE,ISNUMBER(VALUE(metadata!C422))),metadata!C422&gt;0))</f>
        <v>0</v>
      </c>
      <c r="X422">
        <f>AND(IF(metadata!D422="",FALSE,TRUE),exact(metadata!D422,"weeks"))</f>
        <v>0</v>
      </c>
      <c r="Y422">
        <f>AND(IF(metadata!E422="",FALSE,TRUE),exact(metadata!E422,"urban biome"))</f>
        <v>0</v>
      </c>
      <c r="Z422">
        <f>AND(IF(metadata!F422="",FALSE,TRUE),exact(metadata!F422,"animal-associated habitat"))</f>
        <v>0</v>
      </c>
      <c r="AA422">
        <f>AND(IF(metadata!G422="",FALSE,TRUE),exact(metadata!G422,"mouse"))</f>
        <v>0</v>
      </c>
      <c r="AB422">
        <f>AND(IF(metadata!H422="",FALSE,TRUE),exact(metadata!H422,"Mus musculus"))</f>
        <v>0</v>
      </c>
      <c r="AC422">
        <f>AND(IF(metadata!I422="",FALSE,TRUE),exact(metadata!I422,"10090"))</f>
        <v>0</v>
      </c>
      <c r="AD422">
        <f>OR(AND(IF(metadata!J422="",FALSE,TRUE),OR(exact(metadata!J422,"not applicable"),exact(metadata!J422,"missing: not collected"),exact(metadata!J422,"missing: not provided"),exact(metadata!J422,"missing: restricted access"))),AND(IF(metadata!J422="",FALSE,ISNUMBER(VALUE(metadata!J422))),metadata!J422&gt;0))</f>
        <v>0</v>
      </c>
      <c r="AE422">
        <f>AND(IF(metadata!K422="",FALSE,TRUE),exact(metadata!K422,"g"))</f>
        <v>0</v>
      </c>
    </row>
    <row r="423" spans="1:31">
      <c r="A423" s="5">
        <f>IF(B423=" "," ",HYPERLINK(CONCATENATE("#metadata!",ADDRESS(INDEX($Q$2:$Q$1001,MATCH(ROWS($O$2:O423),$O$2:$O$1001,0),0),1)),INDEX($T$2:$T$1001,MATCH(ROWS($O$2:O423),$O$2:$O$1001,0),0)))</f>
        <v>0</v>
      </c>
      <c r="B423" s="4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4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4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4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4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4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4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4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4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4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OR(AND(IF(metadata!C423="",FALSE,TRUE),OR(exact(metadata!C423,"not applicable"),exact(metadata!C423,"missing: not collected"),exact(metadata!C423,"missing: not provided"),exact(metadata!C423,"missing: restricted access"))),AND(IF(metadata!C423="",FALSE,ISNUMBER(VALUE(metadata!C423))),metadata!C423&gt;0))</f>
        <v>0</v>
      </c>
      <c r="X423">
        <f>AND(IF(metadata!D423="",FALSE,TRUE),exact(metadata!D423,"weeks"))</f>
        <v>0</v>
      </c>
      <c r="Y423">
        <f>AND(IF(metadata!E423="",FALSE,TRUE),exact(metadata!E423,"urban biome"))</f>
        <v>0</v>
      </c>
      <c r="Z423">
        <f>AND(IF(metadata!F423="",FALSE,TRUE),exact(metadata!F423,"animal-associated habitat"))</f>
        <v>0</v>
      </c>
      <c r="AA423">
        <f>AND(IF(metadata!G423="",FALSE,TRUE),exact(metadata!G423,"mouse"))</f>
        <v>0</v>
      </c>
      <c r="AB423">
        <f>AND(IF(metadata!H423="",FALSE,TRUE),exact(metadata!H423,"Mus musculus"))</f>
        <v>0</v>
      </c>
      <c r="AC423">
        <f>AND(IF(metadata!I423="",FALSE,TRUE),exact(metadata!I423,"10090"))</f>
        <v>0</v>
      </c>
      <c r="AD423">
        <f>OR(AND(IF(metadata!J423="",FALSE,TRUE),OR(exact(metadata!J423,"not applicable"),exact(metadata!J423,"missing: not collected"),exact(metadata!J423,"missing: not provided"),exact(metadata!J423,"missing: restricted access"))),AND(IF(metadata!J423="",FALSE,ISNUMBER(VALUE(metadata!J423))),metadata!J423&gt;0))</f>
        <v>0</v>
      </c>
      <c r="AE423">
        <f>AND(IF(metadata!K423="",FALSE,TRUE),exact(metadata!K423,"g"))</f>
        <v>0</v>
      </c>
    </row>
    <row r="424" spans="1:31">
      <c r="A424" s="5">
        <f>IF(B424=" "," ",HYPERLINK(CONCATENATE("#metadata!",ADDRESS(INDEX($Q$2:$Q$1001,MATCH(ROWS($O$2:O424),$O$2:$O$1001,0),0),1)),INDEX($T$2:$T$1001,MATCH(ROWS($O$2:O424),$O$2:$O$1001,0),0)))</f>
        <v>0</v>
      </c>
      <c r="B424" s="4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4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4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4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4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4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4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4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4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4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OR(AND(IF(metadata!C424="",FALSE,TRUE),OR(exact(metadata!C424,"not applicable"),exact(metadata!C424,"missing: not collected"),exact(metadata!C424,"missing: not provided"),exact(metadata!C424,"missing: restricted access"))),AND(IF(metadata!C424="",FALSE,ISNUMBER(VALUE(metadata!C424))),metadata!C424&gt;0))</f>
        <v>0</v>
      </c>
      <c r="X424">
        <f>AND(IF(metadata!D424="",FALSE,TRUE),exact(metadata!D424,"weeks"))</f>
        <v>0</v>
      </c>
      <c r="Y424">
        <f>AND(IF(metadata!E424="",FALSE,TRUE),exact(metadata!E424,"urban biome"))</f>
        <v>0</v>
      </c>
      <c r="Z424">
        <f>AND(IF(metadata!F424="",FALSE,TRUE),exact(metadata!F424,"animal-associated habitat"))</f>
        <v>0</v>
      </c>
      <c r="AA424">
        <f>AND(IF(metadata!G424="",FALSE,TRUE),exact(metadata!G424,"mouse"))</f>
        <v>0</v>
      </c>
      <c r="AB424">
        <f>AND(IF(metadata!H424="",FALSE,TRUE),exact(metadata!H424,"Mus musculus"))</f>
        <v>0</v>
      </c>
      <c r="AC424">
        <f>AND(IF(metadata!I424="",FALSE,TRUE),exact(metadata!I424,"10090"))</f>
        <v>0</v>
      </c>
      <c r="AD424">
        <f>OR(AND(IF(metadata!J424="",FALSE,TRUE),OR(exact(metadata!J424,"not applicable"),exact(metadata!J424,"missing: not collected"),exact(metadata!J424,"missing: not provided"),exact(metadata!J424,"missing: restricted access"))),AND(IF(metadata!J424="",FALSE,ISNUMBER(VALUE(metadata!J424))),metadata!J424&gt;0))</f>
        <v>0</v>
      </c>
      <c r="AE424">
        <f>AND(IF(metadata!K424="",FALSE,TRUE),exact(metadata!K424,"g"))</f>
        <v>0</v>
      </c>
    </row>
    <row r="425" spans="1:31">
      <c r="A425" s="5">
        <f>IF(B425=" "," ",HYPERLINK(CONCATENATE("#metadata!",ADDRESS(INDEX($Q$2:$Q$1001,MATCH(ROWS($O$2:O425),$O$2:$O$1001,0),0),1)),INDEX($T$2:$T$1001,MATCH(ROWS($O$2:O425),$O$2:$O$1001,0),0)))</f>
        <v>0</v>
      </c>
      <c r="B425" s="4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4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4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4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4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4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4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4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4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4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OR(AND(IF(metadata!C425="",FALSE,TRUE),OR(exact(metadata!C425,"not applicable"),exact(metadata!C425,"missing: not collected"),exact(metadata!C425,"missing: not provided"),exact(metadata!C425,"missing: restricted access"))),AND(IF(metadata!C425="",FALSE,ISNUMBER(VALUE(metadata!C425))),metadata!C425&gt;0))</f>
        <v>0</v>
      </c>
      <c r="X425">
        <f>AND(IF(metadata!D425="",FALSE,TRUE),exact(metadata!D425,"weeks"))</f>
        <v>0</v>
      </c>
      <c r="Y425">
        <f>AND(IF(metadata!E425="",FALSE,TRUE),exact(metadata!E425,"urban biome"))</f>
        <v>0</v>
      </c>
      <c r="Z425">
        <f>AND(IF(metadata!F425="",FALSE,TRUE),exact(metadata!F425,"animal-associated habitat"))</f>
        <v>0</v>
      </c>
      <c r="AA425">
        <f>AND(IF(metadata!G425="",FALSE,TRUE),exact(metadata!G425,"mouse"))</f>
        <v>0</v>
      </c>
      <c r="AB425">
        <f>AND(IF(metadata!H425="",FALSE,TRUE),exact(metadata!H425,"Mus musculus"))</f>
        <v>0</v>
      </c>
      <c r="AC425">
        <f>AND(IF(metadata!I425="",FALSE,TRUE),exact(metadata!I425,"10090"))</f>
        <v>0</v>
      </c>
      <c r="AD425">
        <f>OR(AND(IF(metadata!J425="",FALSE,TRUE),OR(exact(metadata!J425,"not applicable"),exact(metadata!J425,"missing: not collected"),exact(metadata!J425,"missing: not provided"),exact(metadata!J425,"missing: restricted access"))),AND(IF(metadata!J425="",FALSE,ISNUMBER(VALUE(metadata!J425))),metadata!J425&gt;0))</f>
        <v>0</v>
      </c>
      <c r="AE425">
        <f>AND(IF(metadata!K425="",FALSE,TRUE),exact(metadata!K425,"g"))</f>
        <v>0</v>
      </c>
    </row>
    <row r="426" spans="1:31">
      <c r="A426" s="5">
        <f>IF(B426=" "," ",HYPERLINK(CONCATENATE("#metadata!",ADDRESS(INDEX($Q$2:$Q$1001,MATCH(ROWS($O$2:O426),$O$2:$O$1001,0),0),1)),INDEX($T$2:$T$1001,MATCH(ROWS($O$2:O426),$O$2:$O$1001,0),0)))</f>
        <v>0</v>
      </c>
      <c r="B426" s="4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4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4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4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4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4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4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4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4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4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OR(AND(IF(metadata!C426="",FALSE,TRUE),OR(exact(metadata!C426,"not applicable"),exact(metadata!C426,"missing: not collected"),exact(metadata!C426,"missing: not provided"),exact(metadata!C426,"missing: restricted access"))),AND(IF(metadata!C426="",FALSE,ISNUMBER(VALUE(metadata!C426))),metadata!C426&gt;0))</f>
        <v>0</v>
      </c>
      <c r="X426">
        <f>AND(IF(metadata!D426="",FALSE,TRUE),exact(metadata!D426,"weeks"))</f>
        <v>0</v>
      </c>
      <c r="Y426">
        <f>AND(IF(metadata!E426="",FALSE,TRUE),exact(metadata!E426,"urban biome"))</f>
        <v>0</v>
      </c>
      <c r="Z426">
        <f>AND(IF(metadata!F426="",FALSE,TRUE),exact(metadata!F426,"animal-associated habitat"))</f>
        <v>0</v>
      </c>
      <c r="AA426">
        <f>AND(IF(metadata!G426="",FALSE,TRUE),exact(metadata!G426,"mouse"))</f>
        <v>0</v>
      </c>
      <c r="AB426">
        <f>AND(IF(metadata!H426="",FALSE,TRUE),exact(metadata!H426,"Mus musculus"))</f>
        <v>0</v>
      </c>
      <c r="AC426">
        <f>AND(IF(metadata!I426="",FALSE,TRUE),exact(metadata!I426,"10090"))</f>
        <v>0</v>
      </c>
      <c r="AD426">
        <f>OR(AND(IF(metadata!J426="",FALSE,TRUE),OR(exact(metadata!J426,"not applicable"),exact(metadata!J426,"missing: not collected"),exact(metadata!J426,"missing: not provided"),exact(metadata!J426,"missing: restricted access"))),AND(IF(metadata!J426="",FALSE,ISNUMBER(VALUE(metadata!J426))),metadata!J426&gt;0))</f>
        <v>0</v>
      </c>
      <c r="AE426">
        <f>AND(IF(metadata!K426="",FALSE,TRUE),exact(metadata!K426,"g"))</f>
        <v>0</v>
      </c>
    </row>
    <row r="427" spans="1:31">
      <c r="A427" s="5">
        <f>IF(B427=" "," ",HYPERLINK(CONCATENATE("#metadata!",ADDRESS(INDEX($Q$2:$Q$1001,MATCH(ROWS($O$2:O427),$O$2:$O$1001,0),0),1)),INDEX($T$2:$T$1001,MATCH(ROWS($O$2:O427),$O$2:$O$1001,0),0)))</f>
        <v>0</v>
      </c>
      <c r="B427" s="4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4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4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4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4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4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4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4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4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4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OR(AND(IF(metadata!C427="",FALSE,TRUE),OR(exact(metadata!C427,"not applicable"),exact(metadata!C427,"missing: not collected"),exact(metadata!C427,"missing: not provided"),exact(metadata!C427,"missing: restricted access"))),AND(IF(metadata!C427="",FALSE,ISNUMBER(VALUE(metadata!C427))),metadata!C427&gt;0))</f>
        <v>0</v>
      </c>
      <c r="X427">
        <f>AND(IF(metadata!D427="",FALSE,TRUE),exact(metadata!D427,"weeks"))</f>
        <v>0</v>
      </c>
      <c r="Y427">
        <f>AND(IF(metadata!E427="",FALSE,TRUE),exact(metadata!E427,"urban biome"))</f>
        <v>0</v>
      </c>
      <c r="Z427">
        <f>AND(IF(metadata!F427="",FALSE,TRUE),exact(metadata!F427,"animal-associated habitat"))</f>
        <v>0</v>
      </c>
      <c r="AA427">
        <f>AND(IF(metadata!G427="",FALSE,TRUE),exact(metadata!G427,"mouse"))</f>
        <v>0</v>
      </c>
      <c r="AB427">
        <f>AND(IF(metadata!H427="",FALSE,TRUE),exact(metadata!H427,"Mus musculus"))</f>
        <v>0</v>
      </c>
      <c r="AC427">
        <f>AND(IF(metadata!I427="",FALSE,TRUE),exact(metadata!I427,"10090"))</f>
        <v>0</v>
      </c>
      <c r="AD427">
        <f>OR(AND(IF(metadata!J427="",FALSE,TRUE),OR(exact(metadata!J427,"not applicable"),exact(metadata!J427,"missing: not collected"),exact(metadata!J427,"missing: not provided"),exact(metadata!J427,"missing: restricted access"))),AND(IF(metadata!J427="",FALSE,ISNUMBER(VALUE(metadata!J427))),metadata!J427&gt;0))</f>
        <v>0</v>
      </c>
      <c r="AE427">
        <f>AND(IF(metadata!K427="",FALSE,TRUE),exact(metadata!K427,"g"))</f>
        <v>0</v>
      </c>
    </row>
    <row r="428" spans="1:31">
      <c r="A428" s="5">
        <f>IF(B428=" "," ",HYPERLINK(CONCATENATE("#metadata!",ADDRESS(INDEX($Q$2:$Q$1001,MATCH(ROWS($O$2:O428),$O$2:$O$1001,0),0),1)),INDEX($T$2:$T$1001,MATCH(ROWS($O$2:O428),$O$2:$O$1001,0),0)))</f>
        <v>0</v>
      </c>
      <c r="B428" s="4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4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4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4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4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4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4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4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4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4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OR(AND(IF(metadata!C428="",FALSE,TRUE),OR(exact(metadata!C428,"not applicable"),exact(metadata!C428,"missing: not collected"),exact(metadata!C428,"missing: not provided"),exact(metadata!C428,"missing: restricted access"))),AND(IF(metadata!C428="",FALSE,ISNUMBER(VALUE(metadata!C428))),metadata!C428&gt;0))</f>
        <v>0</v>
      </c>
      <c r="X428">
        <f>AND(IF(metadata!D428="",FALSE,TRUE),exact(metadata!D428,"weeks"))</f>
        <v>0</v>
      </c>
      <c r="Y428">
        <f>AND(IF(metadata!E428="",FALSE,TRUE),exact(metadata!E428,"urban biome"))</f>
        <v>0</v>
      </c>
      <c r="Z428">
        <f>AND(IF(metadata!F428="",FALSE,TRUE),exact(metadata!F428,"animal-associated habitat"))</f>
        <v>0</v>
      </c>
      <c r="AA428">
        <f>AND(IF(metadata!G428="",FALSE,TRUE),exact(metadata!G428,"mouse"))</f>
        <v>0</v>
      </c>
      <c r="AB428">
        <f>AND(IF(metadata!H428="",FALSE,TRUE),exact(metadata!H428,"Mus musculus"))</f>
        <v>0</v>
      </c>
      <c r="AC428">
        <f>AND(IF(metadata!I428="",FALSE,TRUE),exact(metadata!I428,"10090"))</f>
        <v>0</v>
      </c>
      <c r="AD428">
        <f>OR(AND(IF(metadata!J428="",FALSE,TRUE),OR(exact(metadata!J428,"not applicable"),exact(metadata!J428,"missing: not collected"),exact(metadata!J428,"missing: not provided"),exact(metadata!J428,"missing: restricted access"))),AND(IF(metadata!J428="",FALSE,ISNUMBER(VALUE(metadata!J428))),metadata!J428&gt;0))</f>
        <v>0</v>
      </c>
      <c r="AE428">
        <f>AND(IF(metadata!K428="",FALSE,TRUE),exact(metadata!K428,"g"))</f>
        <v>0</v>
      </c>
    </row>
    <row r="429" spans="1:31">
      <c r="A429" s="5">
        <f>IF(B429=" "," ",HYPERLINK(CONCATENATE("#metadata!",ADDRESS(INDEX($Q$2:$Q$1001,MATCH(ROWS($O$2:O429),$O$2:$O$1001,0),0),1)),INDEX($T$2:$T$1001,MATCH(ROWS($O$2:O429),$O$2:$O$1001,0),0)))</f>
        <v>0</v>
      </c>
      <c r="B429" s="4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4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4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4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4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4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4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4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4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4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OR(AND(IF(metadata!C429="",FALSE,TRUE),OR(exact(metadata!C429,"not applicable"),exact(metadata!C429,"missing: not collected"),exact(metadata!C429,"missing: not provided"),exact(metadata!C429,"missing: restricted access"))),AND(IF(metadata!C429="",FALSE,ISNUMBER(VALUE(metadata!C429))),metadata!C429&gt;0))</f>
        <v>0</v>
      </c>
      <c r="X429">
        <f>AND(IF(metadata!D429="",FALSE,TRUE),exact(metadata!D429,"weeks"))</f>
        <v>0</v>
      </c>
      <c r="Y429">
        <f>AND(IF(metadata!E429="",FALSE,TRUE),exact(metadata!E429,"urban biome"))</f>
        <v>0</v>
      </c>
      <c r="Z429">
        <f>AND(IF(metadata!F429="",FALSE,TRUE),exact(metadata!F429,"animal-associated habitat"))</f>
        <v>0</v>
      </c>
      <c r="AA429">
        <f>AND(IF(metadata!G429="",FALSE,TRUE),exact(metadata!G429,"mouse"))</f>
        <v>0</v>
      </c>
      <c r="AB429">
        <f>AND(IF(metadata!H429="",FALSE,TRUE),exact(metadata!H429,"Mus musculus"))</f>
        <v>0</v>
      </c>
      <c r="AC429">
        <f>AND(IF(metadata!I429="",FALSE,TRUE),exact(metadata!I429,"10090"))</f>
        <v>0</v>
      </c>
      <c r="AD429">
        <f>OR(AND(IF(metadata!J429="",FALSE,TRUE),OR(exact(metadata!J429,"not applicable"),exact(metadata!J429,"missing: not collected"),exact(metadata!J429,"missing: not provided"),exact(metadata!J429,"missing: restricted access"))),AND(IF(metadata!J429="",FALSE,ISNUMBER(VALUE(metadata!J429))),metadata!J429&gt;0))</f>
        <v>0</v>
      </c>
      <c r="AE429">
        <f>AND(IF(metadata!K429="",FALSE,TRUE),exact(metadata!K429,"g"))</f>
        <v>0</v>
      </c>
    </row>
    <row r="430" spans="1:31">
      <c r="A430" s="5">
        <f>IF(B430=" "," ",HYPERLINK(CONCATENATE("#metadata!",ADDRESS(INDEX($Q$2:$Q$1001,MATCH(ROWS($O$2:O430),$O$2:$O$1001,0),0),1)),INDEX($T$2:$T$1001,MATCH(ROWS($O$2:O430),$O$2:$O$1001,0),0)))</f>
        <v>0</v>
      </c>
      <c r="B430" s="4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4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4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4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4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4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4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4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4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4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OR(AND(IF(metadata!C430="",FALSE,TRUE),OR(exact(metadata!C430,"not applicable"),exact(metadata!C430,"missing: not collected"),exact(metadata!C430,"missing: not provided"),exact(metadata!C430,"missing: restricted access"))),AND(IF(metadata!C430="",FALSE,ISNUMBER(VALUE(metadata!C430))),metadata!C430&gt;0))</f>
        <v>0</v>
      </c>
      <c r="X430">
        <f>AND(IF(metadata!D430="",FALSE,TRUE),exact(metadata!D430,"weeks"))</f>
        <v>0</v>
      </c>
      <c r="Y430">
        <f>AND(IF(metadata!E430="",FALSE,TRUE),exact(metadata!E430,"urban biome"))</f>
        <v>0</v>
      </c>
      <c r="Z430">
        <f>AND(IF(metadata!F430="",FALSE,TRUE),exact(metadata!F430,"animal-associated habitat"))</f>
        <v>0</v>
      </c>
      <c r="AA430">
        <f>AND(IF(metadata!G430="",FALSE,TRUE),exact(metadata!G430,"mouse"))</f>
        <v>0</v>
      </c>
      <c r="AB430">
        <f>AND(IF(metadata!H430="",FALSE,TRUE),exact(metadata!H430,"Mus musculus"))</f>
        <v>0</v>
      </c>
      <c r="AC430">
        <f>AND(IF(metadata!I430="",FALSE,TRUE),exact(metadata!I430,"10090"))</f>
        <v>0</v>
      </c>
      <c r="AD430">
        <f>OR(AND(IF(metadata!J430="",FALSE,TRUE),OR(exact(metadata!J430,"not applicable"),exact(metadata!J430,"missing: not collected"),exact(metadata!J430,"missing: not provided"),exact(metadata!J430,"missing: restricted access"))),AND(IF(metadata!J430="",FALSE,ISNUMBER(VALUE(metadata!J430))),metadata!J430&gt;0))</f>
        <v>0</v>
      </c>
      <c r="AE430">
        <f>AND(IF(metadata!K430="",FALSE,TRUE),exact(metadata!K430,"g"))</f>
        <v>0</v>
      </c>
    </row>
    <row r="431" spans="1:31">
      <c r="A431" s="5">
        <f>IF(B431=" "," ",HYPERLINK(CONCATENATE("#metadata!",ADDRESS(INDEX($Q$2:$Q$1001,MATCH(ROWS($O$2:O431),$O$2:$O$1001,0),0),1)),INDEX($T$2:$T$1001,MATCH(ROWS($O$2:O431),$O$2:$O$1001,0),0)))</f>
        <v>0</v>
      </c>
      <c r="B431" s="4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4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4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4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4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4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4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4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4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4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OR(AND(IF(metadata!C431="",FALSE,TRUE),OR(exact(metadata!C431,"not applicable"),exact(metadata!C431,"missing: not collected"),exact(metadata!C431,"missing: not provided"),exact(metadata!C431,"missing: restricted access"))),AND(IF(metadata!C431="",FALSE,ISNUMBER(VALUE(metadata!C431))),metadata!C431&gt;0))</f>
        <v>0</v>
      </c>
      <c r="X431">
        <f>AND(IF(metadata!D431="",FALSE,TRUE),exact(metadata!D431,"weeks"))</f>
        <v>0</v>
      </c>
      <c r="Y431">
        <f>AND(IF(metadata!E431="",FALSE,TRUE),exact(metadata!E431,"urban biome"))</f>
        <v>0</v>
      </c>
      <c r="Z431">
        <f>AND(IF(metadata!F431="",FALSE,TRUE),exact(metadata!F431,"animal-associated habitat"))</f>
        <v>0</v>
      </c>
      <c r="AA431">
        <f>AND(IF(metadata!G431="",FALSE,TRUE),exact(metadata!G431,"mouse"))</f>
        <v>0</v>
      </c>
      <c r="AB431">
        <f>AND(IF(metadata!H431="",FALSE,TRUE),exact(metadata!H431,"Mus musculus"))</f>
        <v>0</v>
      </c>
      <c r="AC431">
        <f>AND(IF(metadata!I431="",FALSE,TRUE),exact(metadata!I431,"10090"))</f>
        <v>0</v>
      </c>
      <c r="AD431">
        <f>OR(AND(IF(metadata!J431="",FALSE,TRUE),OR(exact(metadata!J431,"not applicable"),exact(metadata!J431,"missing: not collected"),exact(metadata!J431,"missing: not provided"),exact(metadata!J431,"missing: restricted access"))),AND(IF(metadata!J431="",FALSE,ISNUMBER(VALUE(metadata!J431))),metadata!J431&gt;0))</f>
        <v>0</v>
      </c>
      <c r="AE431">
        <f>AND(IF(metadata!K431="",FALSE,TRUE),exact(metadata!K431,"g"))</f>
        <v>0</v>
      </c>
    </row>
    <row r="432" spans="1:31">
      <c r="A432" s="5">
        <f>IF(B432=" "," ",HYPERLINK(CONCATENATE("#metadata!",ADDRESS(INDEX($Q$2:$Q$1001,MATCH(ROWS($O$2:O432),$O$2:$O$1001,0),0),1)),INDEX($T$2:$T$1001,MATCH(ROWS($O$2:O432),$O$2:$O$1001,0),0)))</f>
        <v>0</v>
      </c>
      <c r="B432" s="4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4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4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4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4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4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4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4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4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4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OR(AND(IF(metadata!C432="",FALSE,TRUE),OR(exact(metadata!C432,"not applicable"),exact(metadata!C432,"missing: not collected"),exact(metadata!C432,"missing: not provided"),exact(metadata!C432,"missing: restricted access"))),AND(IF(metadata!C432="",FALSE,ISNUMBER(VALUE(metadata!C432))),metadata!C432&gt;0))</f>
        <v>0</v>
      </c>
      <c r="X432">
        <f>AND(IF(metadata!D432="",FALSE,TRUE),exact(metadata!D432,"weeks"))</f>
        <v>0</v>
      </c>
      <c r="Y432">
        <f>AND(IF(metadata!E432="",FALSE,TRUE),exact(metadata!E432,"urban biome"))</f>
        <v>0</v>
      </c>
      <c r="Z432">
        <f>AND(IF(metadata!F432="",FALSE,TRUE),exact(metadata!F432,"animal-associated habitat"))</f>
        <v>0</v>
      </c>
      <c r="AA432">
        <f>AND(IF(metadata!G432="",FALSE,TRUE),exact(metadata!G432,"mouse"))</f>
        <v>0</v>
      </c>
      <c r="AB432">
        <f>AND(IF(metadata!H432="",FALSE,TRUE),exact(metadata!H432,"Mus musculus"))</f>
        <v>0</v>
      </c>
      <c r="AC432">
        <f>AND(IF(metadata!I432="",FALSE,TRUE),exact(metadata!I432,"10090"))</f>
        <v>0</v>
      </c>
      <c r="AD432">
        <f>OR(AND(IF(metadata!J432="",FALSE,TRUE),OR(exact(metadata!J432,"not applicable"),exact(metadata!J432,"missing: not collected"),exact(metadata!J432,"missing: not provided"),exact(metadata!J432,"missing: restricted access"))),AND(IF(metadata!J432="",FALSE,ISNUMBER(VALUE(metadata!J432))),metadata!J432&gt;0))</f>
        <v>0</v>
      </c>
      <c r="AE432">
        <f>AND(IF(metadata!K432="",FALSE,TRUE),exact(metadata!K432,"g"))</f>
        <v>0</v>
      </c>
    </row>
    <row r="433" spans="1:31">
      <c r="A433" s="5">
        <f>IF(B433=" "," ",HYPERLINK(CONCATENATE("#metadata!",ADDRESS(INDEX($Q$2:$Q$1001,MATCH(ROWS($O$2:O433),$O$2:$O$1001,0),0),1)),INDEX($T$2:$T$1001,MATCH(ROWS($O$2:O433),$O$2:$O$1001,0),0)))</f>
        <v>0</v>
      </c>
      <c r="B433" s="4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4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4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4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4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4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4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4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4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4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OR(AND(IF(metadata!C433="",FALSE,TRUE),OR(exact(metadata!C433,"not applicable"),exact(metadata!C433,"missing: not collected"),exact(metadata!C433,"missing: not provided"),exact(metadata!C433,"missing: restricted access"))),AND(IF(metadata!C433="",FALSE,ISNUMBER(VALUE(metadata!C433))),metadata!C433&gt;0))</f>
        <v>0</v>
      </c>
      <c r="X433">
        <f>AND(IF(metadata!D433="",FALSE,TRUE),exact(metadata!D433,"weeks"))</f>
        <v>0</v>
      </c>
      <c r="Y433">
        <f>AND(IF(metadata!E433="",FALSE,TRUE),exact(metadata!E433,"urban biome"))</f>
        <v>0</v>
      </c>
      <c r="Z433">
        <f>AND(IF(metadata!F433="",FALSE,TRUE),exact(metadata!F433,"animal-associated habitat"))</f>
        <v>0</v>
      </c>
      <c r="AA433">
        <f>AND(IF(metadata!G433="",FALSE,TRUE),exact(metadata!G433,"mouse"))</f>
        <v>0</v>
      </c>
      <c r="AB433">
        <f>AND(IF(metadata!H433="",FALSE,TRUE),exact(metadata!H433,"Mus musculus"))</f>
        <v>0</v>
      </c>
      <c r="AC433">
        <f>AND(IF(metadata!I433="",FALSE,TRUE),exact(metadata!I433,"10090"))</f>
        <v>0</v>
      </c>
      <c r="AD433">
        <f>OR(AND(IF(metadata!J433="",FALSE,TRUE),OR(exact(metadata!J433,"not applicable"),exact(metadata!J433,"missing: not collected"),exact(metadata!J433,"missing: not provided"),exact(metadata!J433,"missing: restricted access"))),AND(IF(metadata!J433="",FALSE,ISNUMBER(VALUE(metadata!J433))),metadata!J433&gt;0))</f>
        <v>0</v>
      </c>
      <c r="AE433">
        <f>AND(IF(metadata!K433="",FALSE,TRUE),exact(metadata!K433,"g"))</f>
        <v>0</v>
      </c>
    </row>
    <row r="434" spans="1:31">
      <c r="A434" s="5">
        <f>IF(B434=" "," ",HYPERLINK(CONCATENATE("#metadata!",ADDRESS(INDEX($Q$2:$Q$1001,MATCH(ROWS($O$2:O434),$O$2:$O$1001,0),0),1)),INDEX($T$2:$T$1001,MATCH(ROWS($O$2:O434),$O$2:$O$1001,0),0)))</f>
        <v>0</v>
      </c>
      <c r="B434" s="4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4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4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4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4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4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4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4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4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4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OR(AND(IF(metadata!C434="",FALSE,TRUE),OR(exact(metadata!C434,"not applicable"),exact(metadata!C434,"missing: not collected"),exact(metadata!C434,"missing: not provided"),exact(metadata!C434,"missing: restricted access"))),AND(IF(metadata!C434="",FALSE,ISNUMBER(VALUE(metadata!C434))),metadata!C434&gt;0))</f>
        <v>0</v>
      </c>
      <c r="X434">
        <f>AND(IF(metadata!D434="",FALSE,TRUE),exact(metadata!D434,"weeks"))</f>
        <v>0</v>
      </c>
      <c r="Y434">
        <f>AND(IF(metadata!E434="",FALSE,TRUE),exact(metadata!E434,"urban biome"))</f>
        <v>0</v>
      </c>
      <c r="Z434">
        <f>AND(IF(metadata!F434="",FALSE,TRUE),exact(metadata!F434,"animal-associated habitat"))</f>
        <v>0</v>
      </c>
      <c r="AA434">
        <f>AND(IF(metadata!G434="",FALSE,TRUE),exact(metadata!G434,"mouse"))</f>
        <v>0</v>
      </c>
      <c r="AB434">
        <f>AND(IF(metadata!H434="",FALSE,TRUE),exact(metadata!H434,"Mus musculus"))</f>
        <v>0</v>
      </c>
      <c r="AC434">
        <f>AND(IF(metadata!I434="",FALSE,TRUE),exact(metadata!I434,"10090"))</f>
        <v>0</v>
      </c>
      <c r="AD434">
        <f>OR(AND(IF(metadata!J434="",FALSE,TRUE),OR(exact(metadata!J434,"not applicable"),exact(metadata!J434,"missing: not collected"),exact(metadata!J434,"missing: not provided"),exact(metadata!J434,"missing: restricted access"))),AND(IF(metadata!J434="",FALSE,ISNUMBER(VALUE(metadata!J434))),metadata!J434&gt;0))</f>
        <v>0</v>
      </c>
      <c r="AE434">
        <f>AND(IF(metadata!K434="",FALSE,TRUE),exact(metadata!K434,"g"))</f>
        <v>0</v>
      </c>
    </row>
    <row r="435" spans="1:31">
      <c r="A435" s="5">
        <f>IF(B435=" "," ",HYPERLINK(CONCATENATE("#metadata!",ADDRESS(INDEX($Q$2:$Q$1001,MATCH(ROWS($O$2:O435),$O$2:$O$1001,0),0),1)),INDEX($T$2:$T$1001,MATCH(ROWS($O$2:O435),$O$2:$O$1001,0),0)))</f>
        <v>0</v>
      </c>
      <c r="B435" s="4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4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4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4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4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4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4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4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4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4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OR(AND(IF(metadata!C435="",FALSE,TRUE),OR(exact(metadata!C435,"not applicable"),exact(metadata!C435,"missing: not collected"),exact(metadata!C435,"missing: not provided"),exact(metadata!C435,"missing: restricted access"))),AND(IF(metadata!C435="",FALSE,ISNUMBER(VALUE(metadata!C435))),metadata!C435&gt;0))</f>
        <v>0</v>
      </c>
      <c r="X435">
        <f>AND(IF(metadata!D435="",FALSE,TRUE),exact(metadata!D435,"weeks"))</f>
        <v>0</v>
      </c>
      <c r="Y435">
        <f>AND(IF(metadata!E435="",FALSE,TRUE),exact(metadata!E435,"urban biome"))</f>
        <v>0</v>
      </c>
      <c r="Z435">
        <f>AND(IF(metadata!F435="",FALSE,TRUE),exact(metadata!F435,"animal-associated habitat"))</f>
        <v>0</v>
      </c>
      <c r="AA435">
        <f>AND(IF(metadata!G435="",FALSE,TRUE),exact(metadata!G435,"mouse"))</f>
        <v>0</v>
      </c>
      <c r="AB435">
        <f>AND(IF(metadata!H435="",FALSE,TRUE),exact(metadata!H435,"Mus musculus"))</f>
        <v>0</v>
      </c>
      <c r="AC435">
        <f>AND(IF(metadata!I435="",FALSE,TRUE),exact(metadata!I435,"10090"))</f>
        <v>0</v>
      </c>
      <c r="AD435">
        <f>OR(AND(IF(metadata!J435="",FALSE,TRUE),OR(exact(metadata!J435,"not applicable"),exact(metadata!J435,"missing: not collected"),exact(metadata!J435,"missing: not provided"),exact(metadata!J435,"missing: restricted access"))),AND(IF(metadata!J435="",FALSE,ISNUMBER(VALUE(metadata!J435))),metadata!J435&gt;0))</f>
        <v>0</v>
      </c>
      <c r="AE435">
        <f>AND(IF(metadata!K435="",FALSE,TRUE),exact(metadata!K435,"g"))</f>
        <v>0</v>
      </c>
    </row>
    <row r="436" spans="1:31">
      <c r="A436" s="5">
        <f>IF(B436=" "," ",HYPERLINK(CONCATENATE("#metadata!",ADDRESS(INDEX($Q$2:$Q$1001,MATCH(ROWS($O$2:O436),$O$2:$O$1001,0),0),1)),INDEX($T$2:$T$1001,MATCH(ROWS($O$2:O436),$O$2:$O$1001,0),0)))</f>
        <v>0</v>
      </c>
      <c r="B436" s="4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4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4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4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4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4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4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4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4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4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OR(AND(IF(metadata!C436="",FALSE,TRUE),OR(exact(metadata!C436,"not applicable"),exact(metadata!C436,"missing: not collected"),exact(metadata!C436,"missing: not provided"),exact(metadata!C436,"missing: restricted access"))),AND(IF(metadata!C436="",FALSE,ISNUMBER(VALUE(metadata!C436))),metadata!C436&gt;0))</f>
        <v>0</v>
      </c>
      <c r="X436">
        <f>AND(IF(metadata!D436="",FALSE,TRUE),exact(metadata!D436,"weeks"))</f>
        <v>0</v>
      </c>
      <c r="Y436">
        <f>AND(IF(metadata!E436="",FALSE,TRUE),exact(metadata!E436,"urban biome"))</f>
        <v>0</v>
      </c>
      <c r="Z436">
        <f>AND(IF(metadata!F436="",FALSE,TRUE),exact(metadata!F436,"animal-associated habitat"))</f>
        <v>0</v>
      </c>
      <c r="AA436">
        <f>AND(IF(metadata!G436="",FALSE,TRUE),exact(metadata!G436,"mouse"))</f>
        <v>0</v>
      </c>
      <c r="AB436">
        <f>AND(IF(metadata!H436="",FALSE,TRUE),exact(metadata!H436,"Mus musculus"))</f>
        <v>0</v>
      </c>
      <c r="AC436">
        <f>AND(IF(metadata!I436="",FALSE,TRUE),exact(metadata!I436,"10090"))</f>
        <v>0</v>
      </c>
      <c r="AD436">
        <f>OR(AND(IF(metadata!J436="",FALSE,TRUE),OR(exact(metadata!J436,"not applicable"),exact(metadata!J436,"missing: not collected"),exact(metadata!J436,"missing: not provided"),exact(metadata!J436,"missing: restricted access"))),AND(IF(metadata!J436="",FALSE,ISNUMBER(VALUE(metadata!J436))),metadata!J436&gt;0))</f>
        <v>0</v>
      </c>
      <c r="AE436">
        <f>AND(IF(metadata!K436="",FALSE,TRUE),exact(metadata!K436,"g"))</f>
        <v>0</v>
      </c>
    </row>
    <row r="437" spans="1:31">
      <c r="A437" s="5">
        <f>IF(B437=" "," ",HYPERLINK(CONCATENATE("#metadata!",ADDRESS(INDEX($Q$2:$Q$1001,MATCH(ROWS($O$2:O437),$O$2:$O$1001,0),0),1)),INDEX($T$2:$T$1001,MATCH(ROWS($O$2:O437),$O$2:$O$1001,0),0)))</f>
        <v>0</v>
      </c>
      <c r="B437" s="4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4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4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4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4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4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4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4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4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4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OR(AND(IF(metadata!C437="",FALSE,TRUE),OR(exact(metadata!C437,"not applicable"),exact(metadata!C437,"missing: not collected"),exact(metadata!C437,"missing: not provided"),exact(metadata!C437,"missing: restricted access"))),AND(IF(metadata!C437="",FALSE,ISNUMBER(VALUE(metadata!C437))),metadata!C437&gt;0))</f>
        <v>0</v>
      </c>
      <c r="X437">
        <f>AND(IF(metadata!D437="",FALSE,TRUE),exact(metadata!D437,"weeks"))</f>
        <v>0</v>
      </c>
      <c r="Y437">
        <f>AND(IF(metadata!E437="",FALSE,TRUE),exact(metadata!E437,"urban biome"))</f>
        <v>0</v>
      </c>
      <c r="Z437">
        <f>AND(IF(metadata!F437="",FALSE,TRUE),exact(metadata!F437,"animal-associated habitat"))</f>
        <v>0</v>
      </c>
      <c r="AA437">
        <f>AND(IF(metadata!G437="",FALSE,TRUE),exact(metadata!G437,"mouse"))</f>
        <v>0</v>
      </c>
      <c r="AB437">
        <f>AND(IF(metadata!H437="",FALSE,TRUE),exact(metadata!H437,"Mus musculus"))</f>
        <v>0</v>
      </c>
      <c r="AC437">
        <f>AND(IF(metadata!I437="",FALSE,TRUE),exact(metadata!I437,"10090"))</f>
        <v>0</v>
      </c>
      <c r="AD437">
        <f>OR(AND(IF(metadata!J437="",FALSE,TRUE),OR(exact(metadata!J437,"not applicable"),exact(metadata!J437,"missing: not collected"),exact(metadata!J437,"missing: not provided"),exact(metadata!J437,"missing: restricted access"))),AND(IF(metadata!J437="",FALSE,ISNUMBER(VALUE(metadata!J437))),metadata!J437&gt;0))</f>
        <v>0</v>
      </c>
      <c r="AE437">
        <f>AND(IF(metadata!K437="",FALSE,TRUE),exact(metadata!K437,"g"))</f>
        <v>0</v>
      </c>
    </row>
    <row r="438" spans="1:31">
      <c r="A438" s="5">
        <f>IF(B438=" "," ",HYPERLINK(CONCATENATE("#metadata!",ADDRESS(INDEX($Q$2:$Q$1001,MATCH(ROWS($O$2:O438),$O$2:$O$1001,0),0),1)),INDEX($T$2:$T$1001,MATCH(ROWS($O$2:O438),$O$2:$O$1001,0),0)))</f>
        <v>0</v>
      </c>
      <c r="B438" s="4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4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4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4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4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4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4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4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4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4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OR(AND(IF(metadata!C438="",FALSE,TRUE),OR(exact(metadata!C438,"not applicable"),exact(metadata!C438,"missing: not collected"),exact(metadata!C438,"missing: not provided"),exact(metadata!C438,"missing: restricted access"))),AND(IF(metadata!C438="",FALSE,ISNUMBER(VALUE(metadata!C438))),metadata!C438&gt;0))</f>
        <v>0</v>
      </c>
      <c r="X438">
        <f>AND(IF(metadata!D438="",FALSE,TRUE),exact(metadata!D438,"weeks"))</f>
        <v>0</v>
      </c>
      <c r="Y438">
        <f>AND(IF(metadata!E438="",FALSE,TRUE),exact(metadata!E438,"urban biome"))</f>
        <v>0</v>
      </c>
      <c r="Z438">
        <f>AND(IF(metadata!F438="",FALSE,TRUE),exact(metadata!F438,"animal-associated habitat"))</f>
        <v>0</v>
      </c>
      <c r="AA438">
        <f>AND(IF(metadata!G438="",FALSE,TRUE),exact(metadata!G438,"mouse"))</f>
        <v>0</v>
      </c>
      <c r="AB438">
        <f>AND(IF(metadata!H438="",FALSE,TRUE),exact(metadata!H438,"Mus musculus"))</f>
        <v>0</v>
      </c>
      <c r="AC438">
        <f>AND(IF(metadata!I438="",FALSE,TRUE),exact(metadata!I438,"10090"))</f>
        <v>0</v>
      </c>
      <c r="AD438">
        <f>OR(AND(IF(metadata!J438="",FALSE,TRUE),OR(exact(metadata!J438,"not applicable"),exact(metadata!J438,"missing: not collected"),exact(metadata!J438,"missing: not provided"),exact(metadata!J438,"missing: restricted access"))),AND(IF(metadata!J438="",FALSE,ISNUMBER(VALUE(metadata!J438))),metadata!J438&gt;0))</f>
        <v>0</v>
      </c>
      <c r="AE438">
        <f>AND(IF(metadata!K438="",FALSE,TRUE),exact(metadata!K438,"g"))</f>
        <v>0</v>
      </c>
    </row>
    <row r="439" spans="1:31">
      <c r="A439" s="5">
        <f>IF(B439=" "," ",HYPERLINK(CONCATENATE("#metadata!",ADDRESS(INDEX($Q$2:$Q$1001,MATCH(ROWS($O$2:O439),$O$2:$O$1001,0),0),1)),INDEX($T$2:$T$1001,MATCH(ROWS($O$2:O439),$O$2:$O$1001,0),0)))</f>
        <v>0</v>
      </c>
      <c r="B439" s="4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4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4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4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4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4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4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4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4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4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OR(AND(IF(metadata!C439="",FALSE,TRUE),OR(exact(metadata!C439,"not applicable"),exact(metadata!C439,"missing: not collected"),exact(metadata!C439,"missing: not provided"),exact(metadata!C439,"missing: restricted access"))),AND(IF(metadata!C439="",FALSE,ISNUMBER(VALUE(metadata!C439))),metadata!C439&gt;0))</f>
        <v>0</v>
      </c>
      <c r="X439">
        <f>AND(IF(metadata!D439="",FALSE,TRUE),exact(metadata!D439,"weeks"))</f>
        <v>0</v>
      </c>
      <c r="Y439">
        <f>AND(IF(metadata!E439="",FALSE,TRUE),exact(metadata!E439,"urban biome"))</f>
        <v>0</v>
      </c>
      <c r="Z439">
        <f>AND(IF(metadata!F439="",FALSE,TRUE),exact(metadata!F439,"animal-associated habitat"))</f>
        <v>0</v>
      </c>
      <c r="AA439">
        <f>AND(IF(metadata!G439="",FALSE,TRUE),exact(metadata!G439,"mouse"))</f>
        <v>0</v>
      </c>
      <c r="AB439">
        <f>AND(IF(metadata!H439="",FALSE,TRUE),exact(metadata!H439,"Mus musculus"))</f>
        <v>0</v>
      </c>
      <c r="AC439">
        <f>AND(IF(metadata!I439="",FALSE,TRUE),exact(metadata!I439,"10090"))</f>
        <v>0</v>
      </c>
      <c r="AD439">
        <f>OR(AND(IF(metadata!J439="",FALSE,TRUE),OR(exact(metadata!J439,"not applicable"),exact(metadata!J439,"missing: not collected"),exact(metadata!J439,"missing: not provided"),exact(metadata!J439,"missing: restricted access"))),AND(IF(metadata!J439="",FALSE,ISNUMBER(VALUE(metadata!J439))),metadata!J439&gt;0))</f>
        <v>0</v>
      </c>
      <c r="AE439">
        <f>AND(IF(metadata!K439="",FALSE,TRUE),exact(metadata!K439,"g"))</f>
        <v>0</v>
      </c>
    </row>
    <row r="440" spans="1:31">
      <c r="A440" s="5">
        <f>IF(B440=" "," ",HYPERLINK(CONCATENATE("#metadata!",ADDRESS(INDEX($Q$2:$Q$1001,MATCH(ROWS($O$2:O440),$O$2:$O$1001,0),0),1)),INDEX($T$2:$T$1001,MATCH(ROWS($O$2:O440),$O$2:$O$1001,0),0)))</f>
        <v>0</v>
      </c>
      <c r="B440" s="4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4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4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4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4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4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4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4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4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4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OR(AND(IF(metadata!C440="",FALSE,TRUE),OR(exact(metadata!C440,"not applicable"),exact(metadata!C440,"missing: not collected"),exact(metadata!C440,"missing: not provided"),exact(metadata!C440,"missing: restricted access"))),AND(IF(metadata!C440="",FALSE,ISNUMBER(VALUE(metadata!C440))),metadata!C440&gt;0))</f>
        <v>0</v>
      </c>
      <c r="X440">
        <f>AND(IF(metadata!D440="",FALSE,TRUE),exact(metadata!D440,"weeks"))</f>
        <v>0</v>
      </c>
      <c r="Y440">
        <f>AND(IF(metadata!E440="",FALSE,TRUE),exact(metadata!E440,"urban biome"))</f>
        <v>0</v>
      </c>
      <c r="Z440">
        <f>AND(IF(metadata!F440="",FALSE,TRUE),exact(metadata!F440,"animal-associated habitat"))</f>
        <v>0</v>
      </c>
      <c r="AA440">
        <f>AND(IF(metadata!G440="",FALSE,TRUE),exact(metadata!G440,"mouse"))</f>
        <v>0</v>
      </c>
      <c r="AB440">
        <f>AND(IF(metadata!H440="",FALSE,TRUE),exact(metadata!H440,"Mus musculus"))</f>
        <v>0</v>
      </c>
      <c r="AC440">
        <f>AND(IF(metadata!I440="",FALSE,TRUE),exact(metadata!I440,"10090"))</f>
        <v>0</v>
      </c>
      <c r="AD440">
        <f>OR(AND(IF(metadata!J440="",FALSE,TRUE),OR(exact(metadata!J440,"not applicable"),exact(metadata!J440,"missing: not collected"),exact(metadata!J440,"missing: not provided"),exact(metadata!J440,"missing: restricted access"))),AND(IF(metadata!J440="",FALSE,ISNUMBER(VALUE(metadata!J440))),metadata!J440&gt;0))</f>
        <v>0</v>
      </c>
      <c r="AE440">
        <f>AND(IF(metadata!K440="",FALSE,TRUE),exact(metadata!K440,"g"))</f>
        <v>0</v>
      </c>
    </row>
    <row r="441" spans="1:31">
      <c r="A441" s="5">
        <f>IF(B441=" "," ",HYPERLINK(CONCATENATE("#metadata!",ADDRESS(INDEX($Q$2:$Q$1001,MATCH(ROWS($O$2:O441),$O$2:$O$1001,0),0),1)),INDEX($T$2:$T$1001,MATCH(ROWS($O$2:O441),$O$2:$O$1001,0),0)))</f>
        <v>0</v>
      </c>
      <c r="B441" s="4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4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4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4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4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4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4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4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4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4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OR(AND(IF(metadata!C441="",FALSE,TRUE),OR(exact(metadata!C441,"not applicable"),exact(metadata!C441,"missing: not collected"),exact(metadata!C441,"missing: not provided"),exact(metadata!C441,"missing: restricted access"))),AND(IF(metadata!C441="",FALSE,ISNUMBER(VALUE(metadata!C441))),metadata!C441&gt;0))</f>
        <v>0</v>
      </c>
      <c r="X441">
        <f>AND(IF(metadata!D441="",FALSE,TRUE),exact(metadata!D441,"weeks"))</f>
        <v>0</v>
      </c>
      <c r="Y441">
        <f>AND(IF(metadata!E441="",FALSE,TRUE),exact(metadata!E441,"urban biome"))</f>
        <v>0</v>
      </c>
      <c r="Z441">
        <f>AND(IF(metadata!F441="",FALSE,TRUE),exact(metadata!F441,"animal-associated habitat"))</f>
        <v>0</v>
      </c>
      <c r="AA441">
        <f>AND(IF(metadata!G441="",FALSE,TRUE),exact(metadata!G441,"mouse"))</f>
        <v>0</v>
      </c>
      <c r="AB441">
        <f>AND(IF(metadata!H441="",FALSE,TRUE),exact(metadata!H441,"Mus musculus"))</f>
        <v>0</v>
      </c>
      <c r="AC441">
        <f>AND(IF(metadata!I441="",FALSE,TRUE),exact(metadata!I441,"10090"))</f>
        <v>0</v>
      </c>
      <c r="AD441">
        <f>OR(AND(IF(metadata!J441="",FALSE,TRUE),OR(exact(metadata!J441,"not applicable"),exact(metadata!J441,"missing: not collected"),exact(metadata!J441,"missing: not provided"),exact(metadata!J441,"missing: restricted access"))),AND(IF(metadata!J441="",FALSE,ISNUMBER(VALUE(metadata!J441))),metadata!J441&gt;0))</f>
        <v>0</v>
      </c>
      <c r="AE441">
        <f>AND(IF(metadata!K441="",FALSE,TRUE),exact(metadata!K441,"g"))</f>
        <v>0</v>
      </c>
    </row>
    <row r="442" spans="1:31">
      <c r="A442" s="5">
        <f>IF(B442=" "," ",HYPERLINK(CONCATENATE("#metadata!",ADDRESS(INDEX($Q$2:$Q$1001,MATCH(ROWS($O$2:O442),$O$2:$O$1001,0),0),1)),INDEX($T$2:$T$1001,MATCH(ROWS($O$2:O442),$O$2:$O$1001,0),0)))</f>
        <v>0</v>
      </c>
      <c r="B442" s="4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4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4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4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4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4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4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4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4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4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OR(AND(IF(metadata!C442="",FALSE,TRUE),OR(exact(metadata!C442,"not applicable"),exact(metadata!C442,"missing: not collected"),exact(metadata!C442,"missing: not provided"),exact(metadata!C442,"missing: restricted access"))),AND(IF(metadata!C442="",FALSE,ISNUMBER(VALUE(metadata!C442))),metadata!C442&gt;0))</f>
        <v>0</v>
      </c>
      <c r="X442">
        <f>AND(IF(metadata!D442="",FALSE,TRUE),exact(metadata!D442,"weeks"))</f>
        <v>0</v>
      </c>
      <c r="Y442">
        <f>AND(IF(metadata!E442="",FALSE,TRUE),exact(metadata!E442,"urban biome"))</f>
        <v>0</v>
      </c>
      <c r="Z442">
        <f>AND(IF(metadata!F442="",FALSE,TRUE),exact(metadata!F442,"animal-associated habitat"))</f>
        <v>0</v>
      </c>
      <c r="AA442">
        <f>AND(IF(metadata!G442="",FALSE,TRUE),exact(metadata!G442,"mouse"))</f>
        <v>0</v>
      </c>
      <c r="AB442">
        <f>AND(IF(metadata!H442="",FALSE,TRUE),exact(metadata!H442,"Mus musculus"))</f>
        <v>0</v>
      </c>
      <c r="AC442">
        <f>AND(IF(metadata!I442="",FALSE,TRUE),exact(metadata!I442,"10090"))</f>
        <v>0</v>
      </c>
      <c r="AD442">
        <f>OR(AND(IF(metadata!J442="",FALSE,TRUE),OR(exact(metadata!J442,"not applicable"),exact(metadata!J442,"missing: not collected"),exact(metadata!J442,"missing: not provided"),exact(metadata!J442,"missing: restricted access"))),AND(IF(metadata!J442="",FALSE,ISNUMBER(VALUE(metadata!J442))),metadata!J442&gt;0))</f>
        <v>0</v>
      </c>
      <c r="AE442">
        <f>AND(IF(metadata!K442="",FALSE,TRUE),exact(metadata!K442,"g"))</f>
        <v>0</v>
      </c>
    </row>
    <row r="443" spans="1:31">
      <c r="A443" s="5">
        <f>IF(B443=" "," ",HYPERLINK(CONCATENATE("#metadata!",ADDRESS(INDEX($Q$2:$Q$1001,MATCH(ROWS($O$2:O443),$O$2:$O$1001,0),0),1)),INDEX($T$2:$T$1001,MATCH(ROWS($O$2:O443),$O$2:$O$1001,0),0)))</f>
        <v>0</v>
      </c>
      <c r="B443" s="4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4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4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4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4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4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4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4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4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4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OR(AND(IF(metadata!C443="",FALSE,TRUE),OR(exact(metadata!C443,"not applicable"),exact(metadata!C443,"missing: not collected"),exact(metadata!C443,"missing: not provided"),exact(metadata!C443,"missing: restricted access"))),AND(IF(metadata!C443="",FALSE,ISNUMBER(VALUE(metadata!C443))),metadata!C443&gt;0))</f>
        <v>0</v>
      </c>
      <c r="X443">
        <f>AND(IF(metadata!D443="",FALSE,TRUE),exact(metadata!D443,"weeks"))</f>
        <v>0</v>
      </c>
      <c r="Y443">
        <f>AND(IF(metadata!E443="",FALSE,TRUE),exact(metadata!E443,"urban biome"))</f>
        <v>0</v>
      </c>
      <c r="Z443">
        <f>AND(IF(metadata!F443="",FALSE,TRUE),exact(metadata!F443,"animal-associated habitat"))</f>
        <v>0</v>
      </c>
      <c r="AA443">
        <f>AND(IF(metadata!G443="",FALSE,TRUE),exact(metadata!G443,"mouse"))</f>
        <v>0</v>
      </c>
      <c r="AB443">
        <f>AND(IF(metadata!H443="",FALSE,TRUE),exact(metadata!H443,"Mus musculus"))</f>
        <v>0</v>
      </c>
      <c r="AC443">
        <f>AND(IF(metadata!I443="",FALSE,TRUE),exact(metadata!I443,"10090"))</f>
        <v>0</v>
      </c>
      <c r="AD443">
        <f>OR(AND(IF(metadata!J443="",FALSE,TRUE),OR(exact(metadata!J443,"not applicable"),exact(metadata!J443,"missing: not collected"),exact(metadata!J443,"missing: not provided"),exact(metadata!J443,"missing: restricted access"))),AND(IF(metadata!J443="",FALSE,ISNUMBER(VALUE(metadata!J443))),metadata!J443&gt;0))</f>
        <v>0</v>
      </c>
      <c r="AE443">
        <f>AND(IF(metadata!K443="",FALSE,TRUE),exact(metadata!K443,"g"))</f>
        <v>0</v>
      </c>
    </row>
    <row r="444" spans="1:31">
      <c r="A444" s="5">
        <f>IF(B444=" "," ",HYPERLINK(CONCATENATE("#metadata!",ADDRESS(INDEX($Q$2:$Q$1001,MATCH(ROWS($O$2:O444),$O$2:$O$1001,0),0),1)),INDEX($T$2:$T$1001,MATCH(ROWS($O$2:O444),$O$2:$O$1001,0),0)))</f>
        <v>0</v>
      </c>
      <c r="B444" s="4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4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4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4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4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4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4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4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4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4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OR(AND(IF(metadata!C444="",FALSE,TRUE),OR(exact(metadata!C444,"not applicable"),exact(metadata!C444,"missing: not collected"),exact(metadata!C444,"missing: not provided"),exact(metadata!C444,"missing: restricted access"))),AND(IF(metadata!C444="",FALSE,ISNUMBER(VALUE(metadata!C444))),metadata!C444&gt;0))</f>
        <v>0</v>
      </c>
      <c r="X444">
        <f>AND(IF(metadata!D444="",FALSE,TRUE),exact(metadata!D444,"weeks"))</f>
        <v>0</v>
      </c>
      <c r="Y444">
        <f>AND(IF(metadata!E444="",FALSE,TRUE),exact(metadata!E444,"urban biome"))</f>
        <v>0</v>
      </c>
      <c r="Z444">
        <f>AND(IF(metadata!F444="",FALSE,TRUE),exact(metadata!F444,"animal-associated habitat"))</f>
        <v>0</v>
      </c>
      <c r="AA444">
        <f>AND(IF(metadata!G444="",FALSE,TRUE),exact(metadata!G444,"mouse"))</f>
        <v>0</v>
      </c>
      <c r="AB444">
        <f>AND(IF(metadata!H444="",FALSE,TRUE),exact(metadata!H444,"Mus musculus"))</f>
        <v>0</v>
      </c>
      <c r="AC444">
        <f>AND(IF(metadata!I444="",FALSE,TRUE),exact(metadata!I444,"10090"))</f>
        <v>0</v>
      </c>
      <c r="AD444">
        <f>OR(AND(IF(metadata!J444="",FALSE,TRUE),OR(exact(metadata!J444,"not applicable"),exact(metadata!J444,"missing: not collected"),exact(metadata!J444,"missing: not provided"),exact(metadata!J444,"missing: restricted access"))),AND(IF(metadata!J444="",FALSE,ISNUMBER(VALUE(metadata!J444))),metadata!J444&gt;0))</f>
        <v>0</v>
      </c>
      <c r="AE444">
        <f>AND(IF(metadata!K444="",FALSE,TRUE),exact(metadata!K444,"g"))</f>
        <v>0</v>
      </c>
    </row>
    <row r="445" spans="1:31">
      <c r="A445" s="5">
        <f>IF(B445=" "," ",HYPERLINK(CONCATENATE("#metadata!",ADDRESS(INDEX($Q$2:$Q$1001,MATCH(ROWS($O$2:O445),$O$2:$O$1001,0),0),1)),INDEX($T$2:$T$1001,MATCH(ROWS($O$2:O445),$O$2:$O$1001,0),0)))</f>
        <v>0</v>
      </c>
      <c r="B445" s="4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4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4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4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4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4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4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4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4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4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OR(AND(IF(metadata!C445="",FALSE,TRUE),OR(exact(metadata!C445,"not applicable"),exact(metadata!C445,"missing: not collected"),exact(metadata!C445,"missing: not provided"),exact(metadata!C445,"missing: restricted access"))),AND(IF(metadata!C445="",FALSE,ISNUMBER(VALUE(metadata!C445))),metadata!C445&gt;0))</f>
        <v>0</v>
      </c>
      <c r="X445">
        <f>AND(IF(metadata!D445="",FALSE,TRUE),exact(metadata!D445,"weeks"))</f>
        <v>0</v>
      </c>
      <c r="Y445">
        <f>AND(IF(metadata!E445="",FALSE,TRUE),exact(metadata!E445,"urban biome"))</f>
        <v>0</v>
      </c>
      <c r="Z445">
        <f>AND(IF(metadata!F445="",FALSE,TRUE),exact(metadata!F445,"animal-associated habitat"))</f>
        <v>0</v>
      </c>
      <c r="AA445">
        <f>AND(IF(metadata!G445="",FALSE,TRUE),exact(metadata!G445,"mouse"))</f>
        <v>0</v>
      </c>
      <c r="AB445">
        <f>AND(IF(metadata!H445="",FALSE,TRUE),exact(metadata!H445,"Mus musculus"))</f>
        <v>0</v>
      </c>
      <c r="AC445">
        <f>AND(IF(metadata!I445="",FALSE,TRUE),exact(metadata!I445,"10090"))</f>
        <v>0</v>
      </c>
      <c r="AD445">
        <f>OR(AND(IF(metadata!J445="",FALSE,TRUE),OR(exact(metadata!J445,"not applicable"),exact(metadata!J445,"missing: not collected"),exact(metadata!J445,"missing: not provided"),exact(metadata!J445,"missing: restricted access"))),AND(IF(metadata!J445="",FALSE,ISNUMBER(VALUE(metadata!J445))),metadata!J445&gt;0))</f>
        <v>0</v>
      </c>
      <c r="AE445">
        <f>AND(IF(metadata!K445="",FALSE,TRUE),exact(metadata!K445,"g"))</f>
        <v>0</v>
      </c>
    </row>
    <row r="446" spans="1:31">
      <c r="A446" s="5">
        <f>IF(B446=" "," ",HYPERLINK(CONCATENATE("#metadata!",ADDRESS(INDEX($Q$2:$Q$1001,MATCH(ROWS($O$2:O446),$O$2:$O$1001,0),0),1)),INDEX($T$2:$T$1001,MATCH(ROWS($O$2:O446),$O$2:$O$1001,0),0)))</f>
        <v>0</v>
      </c>
      <c r="B446" s="4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4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4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4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4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4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4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4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4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4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OR(AND(IF(metadata!C446="",FALSE,TRUE),OR(exact(metadata!C446,"not applicable"),exact(metadata!C446,"missing: not collected"),exact(metadata!C446,"missing: not provided"),exact(metadata!C446,"missing: restricted access"))),AND(IF(metadata!C446="",FALSE,ISNUMBER(VALUE(metadata!C446))),metadata!C446&gt;0))</f>
        <v>0</v>
      </c>
      <c r="X446">
        <f>AND(IF(metadata!D446="",FALSE,TRUE),exact(metadata!D446,"weeks"))</f>
        <v>0</v>
      </c>
      <c r="Y446">
        <f>AND(IF(metadata!E446="",FALSE,TRUE),exact(metadata!E446,"urban biome"))</f>
        <v>0</v>
      </c>
      <c r="Z446">
        <f>AND(IF(metadata!F446="",FALSE,TRUE),exact(metadata!F446,"animal-associated habitat"))</f>
        <v>0</v>
      </c>
      <c r="AA446">
        <f>AND(IF(metadata!G446="",FALSE,TRUE),exact(metadata!G446,"mouse"))</f>
        <v>0</v>
      </c>
      <c r="AB446">
        <f>AND(IF(metadata!H446="",FALSE,TRUE),exact(metadata!H446,"Mus musculus"))</f>
        <v>0</v>
      </c>
      <c r="AC446">
        <f>AND(IF(metadata!I446="",FALSE,TRUE),exact(metadata!I446,"10090"))</f>
        <v>0</v>
      </c>
      <c r="AD446">
        <f>OR(AND(IF(metadata!J446="",FALSE,TRUE),OR(exact(metadata!J446,"not applicable"),exact(metadata!J446,"missing: not collected"),exact(metadata!J446,"missing: not provided"),exact(metadata!J446,"missing: restricted access"))),AND(IF(metadata!J446="",FALSE,ISNUMBER(VALUE(metadata!J446))),metadata!J446&gt;0))</f>
        <v>0</v>
      </c>
      <c r="AE446">
        <f>AND(IF(metadata!K446="",FALSE,TRUE),exact(metadata!K446,"g"))</f>
        <v>0</v>
      </c>
    </row>
    <row r="447" spans="1:31">
      <c r="A447" s="5">
        <f>IF(B447=" "," ",HYPERLINK(CONCATENATE("#metadata!",ADDRESS(INDEX($Q$2:$Q$1001,MATCH(ROWS($O$2:O447),$O$2:$O$1001,0),0),1)),INDEX($T$2:$T$1001,MATCH(ROWS($O$2:O447),$O$2:$O$1001,0),0)))</f>
        <v>0</v>
      </c>
      <c r="B447" s="4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4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4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4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4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4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4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4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4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4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OR(AND(IF(metadata!C447="",FALSE,TRUE),OR(exact(metadata!C447,"not applicable"),exact(metadata!C447,"missing: not collected"),exact(metadata!C447,"missing: not provided"),exact(metadata!C447,"missing: restricted access"))),AND(IF(metadata!C447="",FALSE,ISNUMBER(VALUE(metadata!C447))),metadata!C447&gt;0))</f>
        <v>0</v>
      </c>
      <c r="X447">
        <f>AND(IF(metadata!D447="",FALSE,TRUE),exact(metadata!D447,"weeks"))</f>
        <v>0</v>
      </c>
      <c r="Y447">
        <f>AND(IF(metadata!E447="",FALSE,TRUE),exact(metadata!E447,"urban biome"))</f>
        <v>0</v>
      </c>
      <c r="Z447">
        <f>AND(IF(metadata!F447="",FALSE,TRUE),exact(metadata!F447,"animal-associated habitat"))</f>
        <v>0</v>
      </c>
      <c r="AA447">
        <f>AND(IF(metadata!G447="",FALSE,TRUE),exact(metadata!G447,"mouse"))</f>
        <v>0</v>
      </c>
      <c r="AB447">
        <f>AND(IF(metadata!H447="",FALSE,TRUE),exact(metadata!H447,"Mus musculus"))</f>
        <v>0</v>
      </c>
      <c r="AC447">
        <f>AND(IF(metadata!I447="",FALSE,TRUE),exact(metadata!I447,"10090"))</f>
        <v>0</v>
      </c>
      <c r="AD447">
        <f>OR(AND(IF(metadata!J447="",FALSE,TRUE),OR(exact(metadata!J447,"not applicable"),exact(metadata!J447,"missing: not collected"),exact(metadata!J447,"missing: not provided"),exact(metadata!J447,"missing: restricted access"))),AND(IF(metadata!J447="",FALSE,ISNUMBER(VALUE(metadata!J447))),metadata!J447&gt;0))</f>
        <v>0</v>
      </c>
      <c r="AE447">
        <f>AND(IF(metadata!K447="",FALSE,TRUE),exact(metadata!K447,"g"))</f>
        <v>0</v>
      </c>
    </row>
    <row r="448" spans="1:31">
      <c r="A448" s="5">
        <f>IF(B448=" "," ",HYPERLINK(CONCATENATE("#metadata!",ADDRESS(INDEX($Q$2:$Q$1001,MATCH(ROWS($O$2:O448),$O$2:$O$1001,0),0),1)),INDEX($T$2:$T$1001,MATCH(ROWS($O$2:O448),$O$2:$O$1001,0),0)))</f>
        <v>0</v>
      </c>
      <c r="B448" s="4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4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4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4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4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4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4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4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4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4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OR(AND(IF(metadata!C448="",FALSE,TRUE),OR(exact(metadata!C448,"not applicable"),exact(metadata!C448,"missing: not collected"),exact(metadata!C448,"missing: not provided"),exact(metadata!C448,"missing: restricted access"))),AND(IF(metadata!C448="",FALSE,ISNUMBER(VALUE(metadata!C448))),metadata!C448&gt;0))</f>
        <v>0</v>
      </c>
      <c r="X448">
        <f>AND(IF(metadata!D448="",FALSE,TRUE),exact(metadata!D448,"weeks"))</f>
        <v>0</v>
      </c>
      <c r="Y448">
        <f>AND(IF(metadata!E448="",FALSE,TRUE),exact(metadata!E448,"urban biome"))</f>
        <v>0</v>
      </c>
      <c r="Z448">
        <f>AND(IF(metadata!F448="",FALSE,TRUE),exact(metadata!F448,"animal-associated habitat"))</f>
        <v>0</v>
      </c>
      <c r="AA448">
        <f>AND(IF(metadata!G448="",FALSE,TRUE),exact(metadata!G448,"mouse"))</f>
        <v>0</v>
      </c>
      <c r="AB448">
        <f>AND(IF(metadata!H448="",FALSE,TRUE),exact(metadata!H448,"Mus musculus"))</f>
        <v>0</v>
      </c>
      <c r="AC448">
        <f>AND(IF(metadata!I448="",FALSE,TRUE),exact(metadata!I448,"10090"))</f>
        <v>0</v>
      </c>
      <c r="AD448">
        <f>OR(AND(IF(metadata!J448="",FALSE,TRUE),OR(exact(metadata!J448,"not applicable"),exact(metadata!J448,"missing: not collected"),exact(metadata!J448,"missing: not provided"),exact(metadata!J448,"missing: restricted access"))),AND(IF(metadata!J448="",FALSE,ISNUMBER(VALUE(metadata!J448))),metadata!J448&gt;0))</f>
        <v>0</v>
      </c>
      <c r="AE448">
        <f>AND(IF(metadata!K448="",FALSE,TRUE),exact(metadata!K448,"g"))</f>
        <v>0</v>
      </c>
    </row>
    <row r="449" spans="1:31">
      <c r="A449" s="5">
        <f>IF(B449=" "," ",HYPERLINK(CONCATENATE("#metadata!",ADDRESS(INDEX($Q$2:$Q$1001,MATCH(ROWS($O$2:O449),$O$2:$O$1001,0),0),1)),INDEX($T$2:$T$1001,MATCH(ROWS($O$2:O449),$O$2:$O$1001,0),0)))</f>
        <v>0</v>
      </c>
      <c r="B449" s="4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4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4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4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4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4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4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4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4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4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OR(AND(IF(metadata!C449="",FALSE,TRUE),OR(exact(metadata!C449,"not applicable"),exact(metadata!C449,"missing: not collected"),exact(metadata!C449,"missing: not provided"),exact(metadata!C449,"missing: restricted access"))),AND(IF(metadata!C449="",FALSE,ISNUMBER(VALUE(metadata!C449))),metadata!C449&gt;0))</f>
        <v>0</v>
      </c>
      <c r="X449">
        <f>AND(IF(metadata!D449="",FALSE,TRUE),exact(metadata!D449,"weeks"))</f>
        <v>0</v>
      </c>
      <c r="Y449">
        <f>AND(IF(metadata!E449="",FALSE,TRUE),exact(metadata!E449,"urban biome"))</f>
        <v>0</v>
      </c>
      <c r="Z449">
        <f>AND(IF(metadata!F449="",FALSE,TRUE),exact(metadata!F449,"animal-associated habitat"))</f>
        <v>0</v>
      </c>
      <c r="AA449">
        <f>AND(IF(metadata!G449="",FALSE,TRUE),exact(metadata!G449,"mouse"))</f>
        <v>0</v>
      </c>
      <c r="AB449">
        <f>AND(IF(metadata!H449="",FALSE,TRUE),exact(metadata!H449,"Mus musculus"))</f>
        <v>0</v>
      </c>
      <c r="AC449">
        <f>AND(IF(metadata!I449="",FALSE,TRUE),exact(metadata!I449,"10090"))</f>
        <v>0</v>
      </c>
      <c r="AD449">
        <f>OR(AND(IF(metadata!J449="",FALSE,TRUE),OR(exact(metadata!J449,"not applicable"),exact(metadata!J449,"missing: not collected"),exact(metadata!J449,"missing: not provided"),exact(metadata!J449,"missing: restricted access"))),AND(IF(metadata!J449="",FALSE,ISNUMBER(VALUE(metadata!J449))),metadata!J449&gt;0))</f>
        <v>0</v>
      </c>
      <c r="AE449">
        <f>AND(IF(metadata!K449="",FALSE,TRUE),exact(metadata!K449,"g"))</f>
        <v>0</v>
      </c>
    </row>
    <row r="450" spans="1:31">
      <c r="A450" s="5">
        <f>IF(B450=" "," ",HYPERLINK(CONCATENATE("#metadata!",ADDRESS(INDEX($Q$2:$Q$1001,MATCH(ROWS($O$2:O450),$O$2:$O$1001,0),0),1)),INDEX($T$2:$T$1001,MATCH(ROWS($O$2:O450),$O$2:$O$1001,0),0)))</f>
        <v>0</v>
      </c>
      <c r="B450" s="4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4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4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4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4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4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4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4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4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4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OR(AND(IF(metadata!C450="",FALSE,TRUE),OR(exact(metadata!C450,"not applicable"),exact(metadata!C450,"missing: not collected"),exact(metadata!C450,"missing: not provided"),exact(metadata!C450,"missing: restricted access"))),AND(IF(metadata!C450="",FALSE,ISNUMBER(VALUE(metadata!C450))),metadata!C450&gt;0))</f>
        <v>0</v>
      </c>
      <c r="X450">
        <f>AND(IF(metadata!D450="",FALSE,TRUE),exact(metadata!D450,"weeks"))</f>
        <v>0</v>
      </c>
      <c r="Y450">
        <f>AND(IF(metadata!E450="",FALSE,TRUE),exact(metadata!E450,"urban biome"))</f>
        <v>0</v>
      </c>
      <c r="Z450">
        <f>AND(IF(metadata!F450="",FALSE,TRUE),exact(metadata!F450,"animal-associated habitat"))</f>
        <v>0</v>
      </c>
      <c r="AA450">
        <f>AND(IF(metadata!G450="",FALSE,TRUE),exact(metadata!G450,"mouse"))</f>
        <v>0</v>
      </c>
      <c r="AB450">
        <f>AND(IF(metadata!H450="",FALSE,TRUE),exact(metadata!H450,"Mus musculus"))</f>
        <v>0</v>
      </c>
      <c r="AC450">
        <f>AND(IF(metadata!I450="",FALSE,TRUE),exact(metadata!I450,"10090"))</f>
        <v>0</v>
      </c>
      <c r="AD450">
        <f>OR(AND(IF(metadata!J450="",FALSE,TRUE),OR(exact(metadata!J450,"not applicable"),exact(metadata!J450,"missing: not collected"),exact(metadata!J450,"missing: not provided"),exact(metadata!J450,"missing: restricted access"))),AND(IF(metadata!J450="",FALSE,ISNUMBER(VALUE(metadata!J450))),metadata!J450&gt;0))</f>
        <v>0</v>
      </c>
      <c r="AE450">
        <f>AND(IF(metadata!K450="",FALSE,TRUE),exact(metadata!K450,"g"))</f>
        <v>0</v>
      </c>
    </row>
    <row r="451" spans="1:31">
      <c r="A451" s="5">
        <f>IF(B451=" "," ",HYPERLINK(CONCATENATE("#metadata!",ADDRESS(INDEX($Q$2:$Q$1001,MATCH(ROWS($O$2:O451),$O$2:$O$1001,0),0),1)),INDEX($T$2:$T$1001,MATCH(ROWS($O$2:O451),$O$2:$O$1001,0),0)))</f>
        <v>0</v>
      </c>
      <c r="B451" s="4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4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4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4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4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4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4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4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4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4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OR(AND(IF(metadata!C451="",FALSE,TRUE),OR(exact(metadata!C451,"not applicable"),exact(metadata!C451,"missing: not collected"),exact(metadata!C451,"missing: not provided"),exact(metadata!C451,"missing: restricted access"))),AND(IF(metadata!C451="",FALSE,ISNUMBER(VALUE(metadata!C451))),metadata!C451&gt;0))</f>
        <v>0</v>
      </c>
      <c r="X451">
        <f>AND(IF(metadata!D451="",FALSE,TRUE),exact(metadata!D451,"weeks"))</f>
        <v>0</v>
      </c>
      <c r="Y451">
        <f>AND(IF(metadata!E451="",FALSE,TRUE),exact(metadata!E451,"urban biome"))</f>
        <v>0</v>
      </c>
      <c r="Z451">
        <f>AND(IF(metadata!F451="",FALSE,TRUE),exact(metadata!F451,"animal-associated habitat"))</f>
        <v>0</v>
      </c>
      <c r="AA451">
        <f>AND(IF(metadata!G451="",FALSE,TRUE),exact(metadata!G451,"mouse"))</f>
        <v>0</v>
      </c>
      <c r="AB451">
        <f>AND(IF(metadata!H451="",FALSE,TRUE),exact(metadata!H451,"Mus musculus"))</f>
        <v>0</v>
      </c>
      <c r="AC451">
        <f>AND(IF(metadata!I451="",FALSE,TRUE),exact(metadata!I451,"10090"))</f>
        <v>0</v>
      </c>
      <c r="AD451">
        <f>OR(AND(IF(metadata!J451="",FALSE,TRUE),OR(exact(metadata!J451,"not applicable"),exact(metadata!J451,"missing: not collected"),exact(metadata!J451,"missing: not provided"),exact(metadata!J451,"missing: restricted access"))),AND(IF(metadata!J451="",FALSE,ISNUMBER(VALUE(metadata!J451))),metadata!J451&gt;0))</f>
        <v>0</v>
      </c>
      <c r="AE451">
        <f>AND(IF(metadata!K451="",FALSE,TRUE),exact(metadata!K451,"g"))</f>
        <v>0</v>
      </c>
    </row>
    <row r="452" spans="1:31">
      <c r="A452" s="5">
        <f>IF(B452=" "," ",HYPERLINK(CONCATENATE("#metadata!",ADDRESS(INDEX($Q$2:$Q$1001,MATCH(ROWS($O$2:O452),$O$2:$O$1001,0),0),1)),INDEX($T$2:$T$1001,MATCH(ROWS($O$2:O452),$O$2:$O$1001,0),0)))</f>
        <v>0</v>
      </c>
      <c r="B452" s="4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4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4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4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4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4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4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4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4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4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OR(AND(IF(metadata!C452="",FALSE,TRUE),OR(exact(metadata!C452,"not applicable"),exact(metadata!C452,"missing: not collected"),exact(metadata!C452,"missing: not provided"),exact(metadata!C452,"missing: restricted access"))),AND(IF(metadata!C452="",FALSE,ISNUMBER(VALUE(metadata!C452))),metadata!C452&gt;0))</f>
        <v>0</v>
      </c>
      <c r="X452">
        <f>AND(IF(metadata!D452="",FALSE,TRUE),exact(metadata!D452,"weeks"))</f>
        <v>0</v>
      </c>
      <c r="Y452">
        <f>AND(IF(metadata!E452="",FALSE,TRUE),exact(metadata!E452,"urban biome"))</f>
        <v>0</v>
      </c>
      <c r="Z452">
        <f>AND(IF(metadata!F452="",FALSE,TRUE),exact(metadata!F452,"animal-associated habitat"))</f>
        <v>0</v>
      </c>
      <c r="AA452">
        <f>AND(IF(metadata!G452="",FALSE,TRUE),exact(metadata!G452,"mouse"))</f>
        <v>0</v>
      </c>
      <c r="AB452">
        <f>AND(IF(metadata!H452="",FALSE,TRUE),exact(metadata!H452,"Mus musculus"))</f>
        <v>0</v>
      </c>
      <c r="AC452">
        <f>AND(IF(metadata!I452="",FALSE,TRUE),exact(metadata!I452,"10090"))</f>
        <v>0</v>
      </c>
      <c r="AD452">
        <f>OR(AND(IF(metadata!J452="",FALSE,TRUE),OR(exact(metadata!J452,"not applicable"),exact(metadata!J452,"missing: not collected"),exact(metadata!J452,"missing: not provided"),exact(metadata!J452,"missing: restricted access"))),AND(IF(metadata!J452="",FALSE,ISNUMBER(VALUE(metadata!J452))),metadata!J452&gt;0))</f>
        <v>0</v>
      </c>
      <c r="AE452">
        <f>AND(IF(metadata!K452="",FALSE,TRUE),exact(metadata!K452,"g"))</f>
        <v>0</v>
      </c>
    </row>
    <row r="453" spans="1:31">
      <c r="A453" s="5">
        <f>IF(B453=" "," ",HYPERLINK(CONCATENATE("#metadata!",ADDRESS(INDEX($Q$2:$Q$1001,MATCH(ROWS($O$2:O453),$O$2:$O$1001,0),0),1)),INDEX($T$2:$T$1001,MATCH(ROWS($O$2:O453),$O$2:$O$1001,0),0)))</f>
        <v>0</v>
      </c>
      <c r="B453" s="4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4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4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4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4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4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4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4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4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4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OR(AND(IF(metadata!C453="",FALSE,TRUE),OR(exact(metadata!C453,"not applicable"),exact(metadata!C453,"missing: not collected"),exact(metadata!C453,"missing: not provided"),exact(metadata!C453,"missing: restricted access"))),AND(IF(metadata!C453="",FALSE,ISNUMBER(VALUE(metadata!C453))),metadata!C453&gt;0))</f>
        <v>0</v>
      </c>
      <c r="X453">
        <f>AND(IF(metadata!D453="",FALSE,TRUE),exact(metadata!D453,"weeks"))</f>
        <v>0</v>
      </c>
      <c r="Y453">
        <f>AND(IF(metadata!E453="",FALSE,TRUE),exact(metadata!E453,"urban biome"))</f>
        <v>0</v>
      </c>
      <c r="Z453">
        <f>AND(IF(metadata!F453="",FALSE,TRUE),exact(metadata!F453,"animal-associated habitat"))</f>
        <v>0</v>
      </c>
      <c r="AA453">
        <f>AND(IF(metadata!G453="",FALSE,TRUE),exact(metadata!G453,"mouse"))</f>
        <v>0</v>
      </c>
      <c r="AB453">
        <f>AND(IF(metadata!H453="",FALSE,TRUE),exact(metadata!H453,"Mus musculus"))</f>
        <v>0</v>
      </c>
      <c r="AC453">
        <f>AND(IF(metadata!I453="",FALSE,TRUE),exact(metadata!I453,"10090"))</f>
        <v>0</v>
      </c>
      <c r="AD453">
        <f>OR(AND(IF(metadata!J453="",FALSE,TRUE),OR(exact(metadata!J453,"not applicable"),exact(metadata!J453,"missing: not collected"),exact(metadata!J453,"missing: not provided"),exact(metadata!J453,"missing: restricted access"))),AND(IF(metadata!J453="",FALSE,ISNUMBER(VALUE(metadata!J453))),metadata!J453&gt;0))</f>
        <v>0</v>
      </c>
      <c r="AE453">
        <f>AND(IF(metadata!K453="",FALSE,TRUE),exact(metadata!K453,"g"))</f>
        <v>0</v>
      </c>
    </row>
    <row r="454" spans="1:31">
      <c r="A454" s="5">
        <f>IF(B454=" "," ",HYPERLINK(CONCATENATE("#metadata!",ADDRESS(INDEX($Q$2:$Q$1001,MATCH(ROWS($O$2:O454),$O$2:$O$1001,0),0),1)),INDEX($T$2:$T$1001,MATCH(ROWS($O$2:O454),$O$2:$O$1001,0),0)))</f>
        <v>0</v>
      </c>
      <c r="B454" s="4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4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4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4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4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4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4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4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4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4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OR(AND(IF(metadata!C454="",FALSE,TRUE),OR(exact(metadata!C454,"not applicable"),exact(metadata!C454,"missing: not collected"),exact(metadata!C454,"missing: not provided"),exact(metadata!C454,"missing: restricted access"))),AND(IF(metadata!C454="",FALSE,ISNUMBER(VALUE(metadata!C454))),metadata!C454&gt;0))</f>
        <v>0</v>
      </c>
      <c r="X454">
        <f>AND(IF(metadata!D454="",FALSE,TRUE),exact(metadata!D454,"weeks"))</f>
        <v>0</v>
      </c>
      <c r="Y454">
        <f>AND(IF(metadata!E454="",FALSE,TRUE),exact(metadata!E454,"urban biome"))</f>
        <v>0</v>
      </c>
      <c r="Z454">
        <f>AND(IF(metadata!F454="",FALSE,TRUE),exact(metadata!F454,"animal-associated habitat"))</f>
        <v>0</v>
      </c>
      <c r="AA454">
        <f>AND(IF(metadata!G454="",FALSE,TRUE),exact(metadata!G454,"mouse"))</f>
        <v>0</v>
      </c>
      <c r="AB454">
        <f>AND(IF(metadata!H454="",FALSE,TRUE),exact(metadata!H454,"Mus musculus"))</f>
        <v>0</v>
      </c>
      <c r="AC454">
        <f>AND(IF(metadata!I454="",FALSE,TRUE),exact(metadata!I454,"10090"))</f>
        <v>0</v>
      </c>
      <c r="AD454">
        <f>OR(AND(IF(metadata!J454="",FALSE,TRUE),OR(exact(metadata!J454,"not applicable"),exact(metadata!J454,"missing: not collected"),exact(metadata!J454,"missing: not provided"),exact(metadata!J454,"missing: restricted access"))),AND(IF(metadata!J454="",FALSE,ISNUMBER(VALUE(metadata!J454))),metadata!J454&gt;0))</f>
        <v>0</v>
      </c>
      <c r="AE454">
        <f>AND(IF(metadata!K454="",FALSE,TRUE),exact(metadata!K454,"g"))</f>
        <v>0</v>
      </c>
    </row>
    <row r="455" spans="1:31">
      <c r="A455" s="5">
        <f>IF(B455=" "," ",HYPERLINK(CONCATENATE("#metadata!",ADDRESS(INDEX($Q$2:$Q$1001,MATCH(ROWS($O$2:O455),$O$2:$O$1001,0),0),1)),INDEX($T$2:$T$1001,MATCH(ROWS($O$2:O455),$O$2:$O$1001,0),0)))</f>
        <v>0</v>
      </c>
      <c r="B455" s="4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4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4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4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4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4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4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4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4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4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OR(AND(IF(metadata!C455="",FALSE,TRUE),OR(exact(metadata!C455,"not applicable"),exact(metadata!C455,"missing: not collected"),exact(metadata!C455,"missing: not provided"),exact(metadata!C455,"missing: restricted access"))),AND(IF(metadata!C455="",FALSE,ISNUMBER(VALUE(metadata!C455))),metadata!C455&gt;0))</f>
        <v>0</v>
      </c>
      <c r="X455">
        <f>AND(IF(metadata!D455="",FALSE,TRUE),exact(metadata!D455,"weeks"))</f>
        <v>0</v>
      </c>
      <c r="Y455">
        <f>AND(IF(metadata!E455="",FALSE,TRUE),exact(metadata!E455,"urban biome"))</f>
        <v>0</v>
      </c>
      <c r="Z455">
        <f>AND(IF(metadata!F455="",FALSE,TRUE),exact(metadata!F455,"animal-associated habitat"))</f>
        <v>0</v>
      </c>
      <c r="AA455">
        <f>AND(IF(metadata!G455="",FALSE,TRUE),exact(metadata!G455,"mouse"))</f>
        <v>0</v>
      </c>
      <c r="AB455">
        <f>AND(IF(metadata!H455="",FALSE,TRUE),exact(metadata!H455,"Mus musculus"))</f>
        <v>0</v>
      </c>
      <c r="AC455">
        <f>AND(IF(metadata!I455="",FALSE,TRUE),exact(metadata!I455,"10090"))</f>
        <v>0</v>
      </c>
      <c r="AD455">
        <f>OR(AND(IF(metadata!J455="",FALSE,TRUE),OR(exact(metadata!J455,"not applicable"),exact(metadata!J455,"missing: not collected"),exact(metadata!J455,"missing: not provided"),exact(metadata!J455,"missing: restricted access"))),AND(IF(metadata!J455="",FALSE,ISNUMBER(VALUE(metadata!J455))),metadata!J455&gt;0))</f>
        <v>0</v>
      </c>
      <c r="AE455">
        <f>AND(IF(metadata!K455="",FALSE,TRUE),exact(metadata!K455,"g"))</f>
        <v>0</v>
      </c>
    </row>
    <row r="456" spans="1:31">
      <c r="A456" s="5">
        <f>IF(B456=" "," ",HYPERLINK(CONCATENATE("#metadata!",ADDRESS(INDEX($Q$2:$Q$1001,MATCH(ROWS($O$2:O456),$O$2:$O$1001,0),0),1)),INDEX($T$2:$T$1001,MATCH(ROWS($O$2:O456),$O$2:$O$1001,0),0)))</f>
        <v>0</v>
      </c>
      <c r="B456" s="4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4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4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4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4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4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4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4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4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4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OR(AND(IF(metadata!C456="",FALSE,TRUE),OR(exact(metadata!C456,"not applicable"),exact(metadata!C456,"missing: not collected"),exact(metadata!C456,"missing: not provided"),exact(metadata!C456,"missing: restricted access"))),AND(IF(metadata!C456="",FALSE,ISNUMBER(VALUE(metadata!C456))),metadata!C456&gt;0))</f>
        <v>0</v>
      </c>
      <c r="X456">
        <f>AND(IF(metadata!D456="",FALSE,TRUE),exact(metadata!D456,"weeks"))</f>
        <v>0</v>
      </c>
      <c r="Y456">
        <f>AND(IF(metadata!E456="",FALSE,TRUE),exact(metadata!E456,"urban biome"))</f>
        <v>0</v>
      </c>
      <c r="Z456">
        <f>AND(IF(metadata!F456="",FALSE,TRUE),exact(metadata!F456,"animal-associated habitat"))</f>
        <v>0</v>
      </c>
      <c r="AA456">
        <f>AND(IF(metadata!G456="",FALSE,TRUE),exact(metadata!G456,"mouse"))</f>
        <v>0</v>
      </c>
      <c r="AB456">
        <f>AND(IF(metadata!H456="",FALSE,TRUE),exact(metadata!H456,"Mus musculus"))</f>
        <v>0</v>
      </c>
      <c r="AC456">
        <f>AND(IF(metadata!I456="",FALSE,TRUE),exact(metadata!I456,"10090"))</f>
        <v>0</v>
      </c>
      <c r="AD456">
        <f>OR(AND(IF(metadata!J456="",FALSE,TRUE),OR(exact(metadata!J456,"not applicable"),exact(metadata!J456,"missing: not collected"),exact(metadata!J456,"missing: not provided"),exact(metadata!J456,"missing: restricted access"))),AND(IF(metadata!J456="",FALSE,ISNUMBER(VALUE(metadata!J456))),metadata!J456&gt;0))</f>
        <v>0</v>
      </c>
      <c r="AE456">
        <f>AND(IF(metadata!K456="",FALSE,TRUE),exact(metadata!K456,"g"))</f>
        <v>0</v>
      </c>
    </row>
    <row r="457" spans="1:31">
      <c r="A457" s="5">
        <f>IF(B457=" "," ",HYPERLINK(CONCATENATE("#metadata!",ADDRESS(INDEX($Q$2:$Q$1001,MATCH(ROWS($O$2:O457),$O$2:$O$1001,0),0),1)),INDEX($T$2:$T$1001,MATCH(ROWS($O$2:O457),$O$2:$O$1001,0),0)))</f>
        <v>0</v>
      </c>
      <c r="B457" s="4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4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4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4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4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4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4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4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4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4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OR(AND(IF(metadata!C457="",FALSE,TRUE),OR(exact(metadata!C457,"not applicable"),exact(metadata!C457,"missing: not collected"),exact(metadata!C457,"missing: not provided"),exact(metadata!C457,"missing: restricted access"))),AND(IF(metadata!C457="",FALSE,ISNUMBER(VALUE(metadata!C457))),metadata!C457&gt;0))</f>
        <v>0</v>
      </c>
      <c r="X457">
        <f>AND(IF(metadata!D457="",FALSE,TRUE),exact(metadata!D457,"weeks"))</f>
        <v>0</v>
      </c>
      <c r="Y457">
        <f>AND(IF(metadata!E457="",FALSE,TRUE),exact(metadata!E457,"urban biome"))</f>
        <v>0</v>
      </c>
      <c r="Z457">
        <f>AND(IF(metadata!F457="",FALSE,TRUE),exact(metadata!F457,"animal-associated habitat"))</f>
        <v>0</v>
      </c>
      <c r="AA457">
        <f>AND(IF(metadata!G457="",FALSE,TRUE),exact(metadata!G457,"mouse"))</f>
        <v>0</v>
      </c>
      <c r="AB457">
        <f>AND(IF(metadata!H457="",FALSE,TRUE),exact(metadata!H457,"Mus musculus"))</f>
        <v>0</v>
      </c>
      <c r="AC457">
        <f>AND(IF(metadata!I457="",FALSE,TRUE),exact(metadata!I457,"10090"))</f>
        <v>0</v>
      </c>
      <c r="AD457">
        <f>OR(AND(IF(metadata!J457="",FALSE,TRUE),OR(exact(metadata!J457,"not applicable"),exact(metadata!J457,"missing: not collected"),exact(metadata!J457,"missing: not provided"),exact(metadata!J457,"missing: restricted access"))),AND(IF(metadata!J457="",FALSE,ISNUMBER(VALUE(metadata!J457))),metadata!J457&gt;0))</f>
        <v>0</v>
      </c>
      <c r="AE457">
        <f>AND(IF(metadata!K457="",FALSE,TRUE),exact(metadata!K457,"g"))</f>
        <v>0</v>
      </c>
    </row>
    <row r="458" spans="1:31">
      <c r="A458" s="5">
        <f>IF(B458=" "," ",HYPERLINK(CONCATENATE("#metadata!",ADDRESS(INDEX($Q$2:$Q$1001,MATCH(ROWS($O$2:O458),$O$2:$O$1001,0),0),1)),INDEX($T$2:$T$1001,MATCH(ROWS($O$2:O458),$O$2:$O$1001,0),0)))</f>
        <v>0</v>
      </c>
      <c r="B458" s="4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4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4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4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4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4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4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4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4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4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OR(AND(IF(metadata!C458="",FALSE,TRUE),OR(exact(metadata!C458,"not applicable"),exact(metadata!C458,"missing: not collected"),exact(metadata!C458,"missing: not provided"),exact(metadata!C458,"missing: restricted access"))),AND(IF(metadata!C458="",FALSE,ISNUMBER(VALUE(metadata!C458))),metadata!C458&gt;0))</f>
        <v>0</v>
      </c>
      <c r="X458">
        <f>AND(IF(metadata!D458="",FALSE,TRUE),exact(metadata!D458,"weeks"))</f>
        <v>0</v>
      </c>
      <c r="Y458">
        <f>AND(IF(metadata!E458="",FALSE,TRUE),exact(metadata!E458,"urban biome"))</f>
        <v>0</v>
      </c>
      <c r="Z458">
        <f>AND(IF(metadata!F458="",FALSE,TRUE),exact(metadata!F458,"animal-associated habitat"))</f>
        <v>0</v>
      </c>
      <c r="AA458">
        <f>AND(IF(metadata!G458="",FALSE,TRUE),exact(metadata!G458,"mouse"))</f>
        <v>0</v>
      </c>
      <c r="AB458">
        <f>AND(IF(metadata!H458="",FALSE,TRUE),exact(metadata!H458,"Mus musculus"))</f>
        <v>0</v>
      </c>
      <c r="AC458">
        <f>AND(IF(metadata!I458="",FALSE,TRUE),exact(metadata!I458,"10090"))</f>
        <v>0</v>
      </c>
      <c r="AD458">
        <f>OR(AND(IF(metadata!J458="",FALSE,TRUE),OR(exact(metadata!J458,"not applicable"),exact(metadata!J458,"missing: not collected"),exact(metadata!J458,"missing: not provided"),exact(metadata!J458,"missing: restricted access"))),AND(IF(metadata!J458="",FALSE,ISNUMBER(VALUE(metadata!J458))),metadata!J458&gt;0))</f>
        <v>0</v>
      </c>
      <c r="AE458">
        <f>AND(IF(metadata!K458="",FALSE,TRUE),exact(metadata!K458,"g"))</f>
        <v>0</v>
      </c>
    </row>
    <row r="459" spans="1:31">
      <c r="A459" s="5">
        <f>IF(B459=" "," ",HYPERLINK(CONCATENATE("#metadata!",ADDRESS(INDEX($Q$2:$Q$1001,MATCH(ROWS($O$2:O459),$O$2:$O$1001,0),0),1)),INDEX($T$2:$T$1001,MATCH(ROWS($O$2:O459),$O$2:$O$1001,0),0)))</f>
        <v>0</v>
      </c>
      <c r="B459" s="4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4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4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4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4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4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4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4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4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4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OR(AND(IF(metadata!C459="",FALSE,TRUE),OR(exact(metadata!C459,"not applicable"),exact(metadata!C459,"missing: not collected"),exact(metadata!C459,"missing: not provided"),exact(metadata!C459,"missing: restricted access"))),AND(IF(metadata!C459="",FALSE,ISNUMBER(VALUE(metadata!C459))),metadata!C459&gt;0))</f>
        <v>0</v>
      </c>
      <c r="X459">
        <f>AND(IF(metadata!D459="",FALSE,TRUE),exact(metadata!D459,"weeks"))</f>
        <v>0</v>
      </c>
      <c r="Y459">
        <f>AND(IF(metadata!E459="",FALSE,TRUE),exact(metadata!E459,"urban biome"))</f>
        <v>0</v>
      </c>
      <c r="Z459">
        <f>AND(IF(metadata!F459="",FALSE,TRUE),exact(metadata!F459,"animal-associated habitat"))</f>
        <v>0</v>
      </c>
      <c r="AA459">
        <f>AND(IF(metadata!G459="",FALSE,TRUE),exact(metadata!G459,"mouse"))</f>
        <v>0</v>
      </c>
      <c r="AB459">
        <f>AND(IF(metadata!H459="",FALSE,TRUE),exact(metadata!H459,"Mus musculus"))</f>
        <v>0</v>
      </c>
      <c r="AC459">
        <f>AND(IF(metadata!I459="",FALSE,TRUE),exact(metadata!I459,"10090"))</f>
        <v>0</v>
      </c>
      <c r="AD459">
        <f>OR(AND(IF(metadata!J459="",FALSE,TRUE),OR(exact(metadata!J459,"not applicable"),exact(metadata!J459,"missing: not collected"),exact(metadata!J459,"missing: not provided"),exact(metadata!J459,"missing: restricted access"))),AND(IF(metadata!J459="",FALSE,ISNUMBER(VALUE(metadata!J459))),metadata!J459&gt;0))</f>
        <v>0</v>
      </c>
      <c r="AE459">
        <f>AND(IF(metadata!K459="",FALSE,TRUE),exact(metadata!K459,"g"))</f>
        <v>0</v>
      </c>
    </row>
    <row r="460" spans="1:31">
      <c r="A460" s="5">
        <f>IF(B460=" "," ",HYPERLINK(CONCATENATE("#metadata!",ADDRESS(INDEX($Q$2:$Q$1001,MATCH(ROWS($O$2:O460),$O$2:$O$1001,0),0),1)),INDEX($T$2:$T$1001,MATCH(ROWS($O$2:O460),$O$2:$O$1001,0),0)))</f>
        <v>0</v>
      </c>
      <c r="B460" s="4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4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4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4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4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4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4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4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4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4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OR(AND(IF(metadata!C460="",FALSE,TRUE),OR(exact(metadata!C460,"not applicable"),exact(metadata!C460,"missing: not collected"),exact(metadata!C460,"missing: not provided"),exact(metadata!C460,"missing: restricted access"))),AND(IF(metadata!C460="",FALSE,ISNUMBER(VALUE(metadata!C460))),metadata!C460&gt;0))</f>
        <v>0</v>
      </c>
      <c r="X460">
        <f>AND(IF(metadata!D460="",FALSE,TRUE),exact(metadata!D460,"weeks"))</f>
        <v>0</v>
      </c>
      <c r="Y460">
        <f>AND(IF(metadata!E460="",FALSE,TRUE),exact(metadata!E460,"urban biome"))</f>
        <v>0</v>
      </c>
      <c r="Z460">
        <f>AND(IF(metadata!F460="",FALSE,TRUE),exact(metadata!F460,"animal-associated habitat"))</f>
        <v>0</v>
      </c>
      <c r="AA460">
        <f>AND(IF(metadata!G460="",FALSE,TRUE),exact(metadata!G460,"mouse"))</f>
        <v>0</v>
      </c>
      <c r="AB460">
        <f>AND(IF(metadata!H460="",FALSE,TRUE),exact(metadata!H460,"Mus musculus"))</f>
        <v>0</v>
      </c>
      <c r="AC460">
        <f>AND(IF(metadata!I460="",FALSE,TRUE),exact(metadata!I460,"10090"))</f>
        <v>0</v>
      </c>
      <c r="AD460">
        <f>OR(AND(IF(metadata!J460="",FALSE,TRUE),OR(exact(metadata!J460,"not applicable"),exact(metadata!J460,"missing: not collected"),exact(metadata!J460,"missing: not provided"),exact(metadata!J460,"missing: restricted access"))),AND(IF(metadata!J460="",FALSE,ISNUMBER(VALUE(metadata!J460))),metadata!J460&gt;0))</f>
        <v>0</v>
      </c>
      <c r="AE460">
        <f>AND(IF(metadata!K460="",FALSE,TRUE),exact(metadata!K460,"g"))</f>
        <v>0</v>
      </c>
    </row>
    <row r="461" spans="1:31">
      <c r="A461" s="5">
        <f>IF(B461=" "," ",HYPERLINK(CONCATENATE("#metadata!",ADDRESS(INDEX($Q$2:$Q$1001,MATCH(ROWS($O$2:O461),$O$2:$O$1001,0),0),1)),INDEX($T$2:$T$1001,MATCH(ROWS($O$2:O461),$O$2:$O$1001,0),0)))</f>
        <v>0</v>
      </c>
      <c r="B461" s="4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4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4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4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4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4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4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4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4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4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OR(AND(IF(metadata!C461="",FALSE,TRUE),OR(exact(metadata!C461,"not applicable"),exact(metadata!C461,"missing: not collected"),exact(metadata!C461,"missing: not provided"),exact(metadata!C461,"missing: restricted access"))),AND(IF(metadata!C461="",FALSE,ISNUMBER(VALUE(metadata!C461))),metadata!C461&gt;0))</f>
        <v>0</v>
      </c>
      <c r="X461">
        <f>AND(IF(metadata!D461="",FALSE,TRUE),exact(metadata!D461,"weeks"))</f>
        <v>0</v>
      </c>
      <c r="Y461">
        <f>AND(IF(metadata!E461="",FALSE,TRUE),exact(metadata!E461,"urban biome"))</f>
        <v>0</v>
      </c>
      <c r="Z461">
        <f>AND(IF(metadata!F461="",FALSE,TRUE),exact(metadata!F461,"animal-associated habitat"))</f>
        <v>0</v>
      </c>
      <c r="AA461">
        <f>AND(IF(metadata!G461="",FALSE,TRUE),exact(metadata!G461,"mouse"))</f>
        <v>0</v>
      </c>
      <c r="AB461">
        <f>AND(IF(metadata!H461="",FALSE,TRUE),exact(metadata!H461,"Mus musculus"))</f>
        <v>0</v>
      </c>
      <c r="AC461">
        <f>AND(IF(metadata!I461="",FALSE,TRUE),exact(metadata!I461,"10090"))</f>
        <v>0</v>
      </c>
      <c r="AD461">
        <f>OR(AND(IF(metadata!J461="",FALSE,TRUE),OR(exact(metadata!J461,"not applicable"),exact(metadata!J461,"missing: not collected"),exact(metadata!J461,"missing: not provided"),exact(metadata!J461,"missing: restricted access"))),AND(IF(metadata!J461="",FALSE,ISNUMBER(VALUE(metadata!J461))),metadata!J461&gt;0))</f>
        <v>0</v>
      </c>
      <c r="AE461">
        <f>AND(IF(metadata!K461="",FALSE,TRUE),exact(metadata!K461,"g"))</f>
        <v>0</v>
      </c>
    </row>
    <row r="462" spans="1:31">
      <c r="A462" s="5">
        <f>IF(B462=" "," ",HYPERLINK(CONCATENATE("#metadata!",ADDRESS(INDEX($Q$2:$Q$1001,MATCH(ROWS($O$2:O462),$O$2:$O$1001,0),0),1)),INDEX($T$2:$T$1001,MATCH(ROWS($O$2:O462),$O$2:$O$1001,0),0)))</f>
        <v>0</v>
      </c>
      <c r="B462" s="4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4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4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4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4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4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4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4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4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4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OR(AND(IF(metadata!C462="",FALSE,TRUE),OR(exact(metadata!C462,"not applicable"),exact(metadata!C462,"missing: not collected"),exact(metadata!C462,"missing: not provided"),exact(metadata!C462,"missing: restricted access"))),AND(IF(metadata!C462="",FALSE,ISNUMBER(VALUE(metadata!C462))),metadata!C462&gt;0))</f>
        <v>0</v>
      </c>
      <c r="X462">
        <f>AND(IF(metadata!D462="",FALSE,TRUE),exact(metadata!D462,"weeks"))</f>
        <v>0</v>
      </c>
      <c r="Y462">
        <f>AND(IF(metadata!E462="",FALSE,TRUE),exact(metadata!E462,"urban biome"))</f>
        <v>0</v>
      </c>
      <c r="Z462">
        <f>AND(IF(metadata!F462="",FALSE,TRUE),exact(metadata!F462,"animal-associated habitat"))</f>
        <v>0</v>
      </c>
      <c r="AA462">
        <f>AND(IF(metadata!G462="",FALSE,TRUE),exact(metadata!G462,"mouse"))</f>
        <v>0</v>
      </c>
      <c r="AB462">
        <f>AND(IF(metadata!H462="",FALSE,TRUE),exact(metadata!H462,"Mus musculus"))</f>
        <v>0</v>
      </c>
      <c r="AC462">
        <f>AND(IF(metadata!I462="",FALSE,TRUE),exact(metadata!I462,"10090"))</f>
        <v>0</v>
      </c>
      <c r="AD462">
        <f>OR(AND(IF(metadata!J462="",FALSE,TRUE),OR(exact(metadata!J462,"not applicable"),exact(metadata!J462,"missing: not collected"),exact(metadata!J462,"missing: not provided"),exact(metadata!J462,"missing: restricted access"))),AND(IF(metadata!J462="",FALSE,ISNUMBER(VALUE(metadata!J462))),metadata!J462&gt;0))</f>
        <v>0</v>
      </c>
      <c r="AE462">
        <f>AND(IF(metadata!K462="",FALSE,TRUE),exact(metadata!K462,"g"))</f>
        <v>0</v>
      </c>
    </row>
    <row r="463" spans="1:31">
      <c r="A463" s="5">
        <f>IF(B463=" "," ",HYPERLINK(CONCATENATE("#metadata!",ADDRESS(INDEX($Q$2:$Q$1001,MATCH(ROWS($O$2:O463),$O$2:$O$1001,0),0),1)),INDEX($T$2:$T$1001,MATCH(ROWS($O$2:O463),$O$2:$O$1001,0),0)))</f>
        <v>0</v>
      </c>
      <c r="B463" s="4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4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4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4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4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4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4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4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4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4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OR(AND(IF(metadata!C463="",FALSE,TRUE),OR(exact(metadata!C463,"not applicable"),exact(metadata!C463,"missing: not collected"),exact(metadata!C463,"missing: not provided"),exact(metadata!C463,"missing: restricted access"))),AND(IF(metadata!C463="",FALSE,ISNUMBER(VALUE(metadata!C463))),metadata!C463&gt;0))</f>
        <v>0</v>
      </c>
      <c r="X463">
        <f>AND(IF(metadata!D463="",FALSE,TRUE),exact(metadata!D463,"weeks"))</f>
        <v>0</v>
      </c>
      <c r="Y463">
        <f>AND(IF(metadata!E463="",FALSE,TRUE),exact(metadata!E463,"urban biome"))</f>
        <v>0</v>
      </c>
      <c r="Z463">
        <f>AND(IF(metadata!F463="",FALSE,TRUE),exact(metadata!F463,"animal-associated habitat"))</f>
        <v>0</v>
      </c>
      <c r="AA463">
        <f>AND(IF(metadata!G463="",FALSE,TRUE),exact(metadata!G463,"mouse"))</f>
        <v>0</v>
      </c>
      <c r="AB463">
        <f>AND(IF(metadata!H463="",FALSE,TRUE),exact(metadata!H463,"Mus musculus"))</f>
        <v>0</v>
      </c>
      <c r="AC463">
        <f>AND(IF(metadata!I463="",FALSE,TRUE),exact(metadata!I463,"10090"))</f>
        <v>0</v>
      </c>
      <c r="AD463">
        <f>OR(AND(IF(metadata!J463="",FALSE,TRUE),OR(exact(metadata!J463,"not applicable"),exact(metadata!J463,"missing: not collected"),exact(metadata!J463,"missing: not provided"),exact(metadata!J463,"missing: restricted access"))),AND(IF(metadata!J463="",FALSE,ISNUMBER(VALUE(metadata!J463))),metadata!J463&gt;0))</f>
        <v>0</v>
      </c>
      <c r="AE463">
        <f>AND(IF(metadata!K463="",FALSE,TRUE),exact(metadata!K463,"g"))</f>
        <v>0</v>
      </c>
    </row>
    <row r="464" spans="1:31">
      <c r="A464" s="5">
        <f>IF(B464=" "," ",HYPERLINK(CONCATENATE("#metadata!",ADDRESS(INDEX($Q$2:$Q$1001,MATCH(ROWS($O$2:O464),$O$2:$O$1001,0),0),1)),INDEX($T$2:$T$1001,MATCH(ROWS($O$2:O464),$O$2:$O$1001,0),0)))</f>
        <v>0</v>
      </c>
      <c r="B464" s="4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4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4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4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4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4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4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4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4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4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OR(AND(IF(metadata!C464="",FALSE,TRUE),OR(exact(metadata!C464,"not applicable"),exact(metadata!C464,"missing: not collected"),exact(metadata!C464,"missing: not provided"),exact(metadata!C464,"missing: restricted access"))),AND(IF(metadata!C464="",FALSE,ISNUMBER(VALUE(metadata!C464))),metadata!C464&gt;0))</f>
        <v>0</v>
      </c>
      <c r="X464">
        <f>AND(IF(metadata!D464="",FALSE,TRUE),exact(metadata!D464,"weeks"))</f>
        <v>0</v>
      </c>
      <c r="Y464">
        <f>AND(IF(metadata!E464="",FALSE,TRUE),exact(metadata!E464,"urban biome"))</f>
        <v>0</v>
      </c>
      <c r="Z464">
        <f>AND(IF(metadata!F464="",FALSE,TRUE),exact(metadata!F464,"animal-associated habitat"))</f>
        <v>0</v>
      </c>
      <c r="AA464">
        <f>AND(IF(metadata!G464="",FALSE,TRUE),exact(metadata!G464,"mouse"))</f>
        <v>0</v>
      </c>
      <c r="AB464">
        <f>AND(IF(metadata!H464="",FALSE,TRUE),exact(metadata!H464,"Mus musculus"))</f>
        <v>0</v>
      </c>
      <c r="AC464">
        <f>AND(IF(metadata!I464="",FALSE,TRUE),exact(metadata!I464,"10090"))</f>
        <v>0</v>
      </c>
      <c r="AD464">
        <f>OR(AND(IF(metadata!J464="",FALSE,TRUE),OR(exact(metadata!J464,"not applicable"),exact(metadata!J464,"missing: not collected"),exact(metadata!J464,"missing: not provided"),exact(metadata!J464,"missing: restricted access"))),AND(IF(metadata!J464="",FALSE,ISNUMBER(VALUE(metadata!J464))),metadata!J464&gt;0))</f>
        <v>0</v>
      </c>
      <c r="AE464">
        <f>AND(IF(metadata!K464="",FALSE,TRUE),exact(metadata!K464,"g"))</f>
        <v>0</v>
      </c>
    </row>
    <row r="465" spans="1:31">
      <c r="A465" s="5">
        <f>IF(B465=" "," ",HYPERLINK(CONCATENATE("#metadata!",ADDRESS(INDEX($Q$2:$Q$1001,MATCH(ROWS($O$2:O465),$O$2:$O$1001,0),0),1)),INDEX($T$2:$T$1001,MATCH(ROWS($O$2:O465),$O$2:$O$1001,0),0)))</f>
        <v>0</v>
      </c>
      <c r="B465" s="4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4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4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4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4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4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4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4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4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4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OR(AND(IF(metadata!C465="",FALSE,TRUE),OR(exact(metadata!C465,"not applicable"),exact(metadata!C465,"missing: not collected"),exact(metadata!C465,"missing: not provided"),exact(metadata!C465,"missing: restricted access"))),AND(IF(metadata!C465="",FALSE,ISNUMBER(VALUE(metadata!C465))),metadata!C465&gt;0))</f>
        <v>0</v>
      </c>
      <c r="X465">
        <f>AND(IF(metadata!D465="",FALSE,TRUE),exact(metadata!D465,"weeks"))</f>
        <v>0</v>
      </c>
      <c r="Y465">
        <f>AND(IF(metadata!E465="",FALSE,TRUE),exact(metadata!E465,"urban biome"))</f>
        <v>0</v>
      </c>
      <c r="Z465">
        <f>AND(IF(metadata!F465="",FALSE,TRUE),exact(metadata!F465,"animal-associated habitat"))</f>
        <v>0</v>
      </c>
      <c r="AA465">
        <f>AND(IF(metadata!G465="",FALSE,TRUE),exact(metadata!G465,"mouse"))</f>
        <v>0</v>
      </c>
      <c r="AB465">
        <f>AND(IF(metadata!H465="",FALSE,TRUE),exact(metadata!H465,"Mus musculus"))</f>
        <v>0</v>
      </c>
      <c r="AC465">
        <f>AND(IF(metadata!I465="",FALSE,TRUE),exact(metadata!I465,"10090"))</f>
        <v>0</v>
      </c>
      <c r="AD465">
        <f>OR(AND(IF(metadata!J465="",FALSE,TRUE),OR(exact(metadata!J465,"not applicable"),exact(metadata!J465,"missing: not collected"),exact(metadata!J465,"missing: not provided"),exact(metadata!J465,"missing: restricted access"))),AND(IF(metadata!J465="",FALSE,ISNUMBER(VALUE(metadata!J465))),metadata!J465&gt;0))</f>
        <v>0</v>
      </c>
      <c r="AE465">
        <f>AND(IF(metadata!K465="",FALSE,TRUE),exact(metadata!K465,"g"))</f>
        <v>0</v>
      </c>
    </row>
    <row r="466" spans="1:31">
      <c r="A466" s="5">
        <f>IF(B466=" "," ",HYPERLINK(CONCATENATE("#metadata!",ADDRESS(INDEX($Q$2:$Q$1001,MATCH(ROWS($O$2:O466),$O$2:$O$1001,0),0),1)),INDEX($T$2:$T$1001,MATCH(ROWS($O$2:O466),$O$2:$O$1001,0),0)))</f>
        <v>0</v>
      </c>
      <c r="B466" s="4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4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4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4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4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4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4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4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4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4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OR(AND(IF(metadata!C466="",FALSE,TRUE),OR(exact(metadata!C466,"not applicable"),exact(metadata!C466,"missing: not collected"),exact(metadata!C466,"missing: not provided"),exact(metadata!C466,"missing: restricted access"))),AND(IF(metadata!C466="",FALSE,ISNUMBER(VALUE(metadata!C466))),metadata!C466&gt;0))</f>
        <v>0</v>
      </c>
      <c r="X466">
        <f>AND(IF(metadata!D466="",FALSE,TRUE),exact(metadata!D466,"weeks"))</f>
        <v>0</v>
      </c>
      <c r="Y466">
        <f>AND(IF(metadata!E466="",FALSE,TRUE),exact(metadata!E466,"urban biome"))</f>
        <v>0</v>
      </c>
      <c r="Z466">
        <f>AND(IF(metadata!F466="",FALSE,TRUE),exact(metadata!F466,"animal-associated habitat"))</f>
        <v>0</v>
      </c>
      <c r="AA466">
        <f>AND(IF(metadata!G466="",FALSE,TRUE),exact(metadata!G466,"mouse"))</f>
        <v>0</v>
      </c>
      <c r="AB466">
        <f>AND(IF(metadata!H466="",FALSE,TRUE),exact(metadata!H466,"Mus musculus"))</f>
        <v>0</v>
      </c>
      <c r="AC466">
        <f>AND(IF(metadata!I466="",FALSE,TRUE),exact(metadata!I466,"10090"))</f>
        <v>0</v>
      </c>
      <c r="AD466">
        <f>OR(AND(IF(metadata!J466="",FALSE,TRUE),OR(exact(metadata!J466,"not applicable"),exact(metadata!J466,"missing: not collected"),exact(metadata!J466,"missing: not provided"),exact(metadata!J466,"missing: restricted access"))),AND(IF(metadata!J466="",FALSE,ISNUMBER(VALUE(metadata!J466))),metadata!J466&gt;0))</f>
        <v>0</v>
      </c>
      <c r="AE466">
        <f>AND(IF(metadata!K466="",FALSE,TRUE),exact(metadata!K466,"g"))</f>
        <v>0</v>
      </c>
    </row>
    <row r="467" spans="1:31">
      <c r="A467" s="5">
        <f>IF(B467=" "," ",HYPERLINK(CONCATENATE("#metadata!",ADDRESS(INDEX($Q$2:$Q$1001,MATCH(ROWS($O$2:O467),$O$2:$O$1001,0),0),1)),INDEX($T$2:$T$1001,MATCH(ROWS($O$2:O467),$O$2:$O$1001,0),0)))</f>
        <v>0</v>
      </c>
      <c r="B467" s="4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4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4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4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4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4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4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4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4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4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OR(AND(IF(metadata!C467="",FALSE,TRUE),OR(exact(metadata!C467,"not applicable"),exact(metadata!C467,"missing: not collected"),exact(metadata!C467,"missing: not provided"),exact(metadata!C467,"missing: restricted access"))),AND(IF(metadata!C467="",FALSE,ISNUMBER(VALUE(metadata!C467))),metadata!C467&gt;0))</f>
        <v>0</v>
      </c>
      <c r="X467">
        <f>AND(IF(metadata!D467="",FALSE,TRUE),exact(metadata!D467,"weeks"))</f>
        <v>0</v>
      </c>
      <c r="Y467">
        <f>AND(IF(metadata!E467="",FALSE,TRUE),exact(metadata!E467,"urban biome"))</f>
        <v>0</v>
      </c>
      <c r="Z467">
        <f>AND(IF(metadata!F467="",FALSE,TRUE),exact(metadata!F467,"animal-associated habitat"))</f>
        <v>0</v>
      </c>
      <c r="AA467">
        <f>AND(IF(metadata!G467="",FALSE,TRUE),exact(metadata!G467,"mouse"))</f>
        <v>0</v>
      </c>
      <c r="AB467">
        <f>AND(IF(metadata!H467="",FALSE,TRUE),exact(metadata!H467,"Mus musculus"))</f>
        <v>0</v>
      </c>
      <c r="AC467">
        <f>AND(IF(metadata!I467="",FALSE,TRUE),exact(metadata!I467,"10090"))</f>
        <v>0</v>
      </c>
      <c r="AD467">
        <f>OR(AND(IF(metadata!J467="",FALSE,TRUE),OR(exact(metadata!J467,"not applicable"),exact(metadata!J467,"missing: not collected"),exact(metadata!J467,"missing: not provided"),exact(metadata!J467,"missing: restricted access"))),AND(IF(metadata!J467="",FALSE,ISNUMBER(VALUE(metadata!J467))),metadata!J467&gt;0))</f>
        <v>0</v>
      </c>
      <c r="AE467">
        <f>AND(IF(metadata!K467="",FALSE,TRUE),exact(metadata!K467,"g"))</f>
        <v>0</v>
      </c>
    </row>
    <row r="468" spans="1:31">
      <c r="A468" s="5">
        <f>IF(B468=" "," ",HYPERLINK(CONCATENATE("#metadata!",ADDRESS(INDEX($Q$2:$Q$1001,MATCH(ROWS($O$2:O468),$O$2:$O$1001,0),0),1)),INDEX($T$2:$T$1001,MATCH(ROWS($O$2:O468),$O$2:$O$1001,0),0)))</f>
        <v>0</v>
      </c>
      <c r="B468" s="4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4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4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4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4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4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4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4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4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4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OR(AND(IF(metadata!C468="",FALSE,TRUE),OR(exact(metadata!C468,"not applicable"),exact(metadata!C468,"missing: not collected"),exact(metadata!C468,"missing: not provided"),exact(metadata!C468,"missing: restricted access"))),AND(IF(metadata!C468="",FALSE,ISNUMBER(VALUE(metadata!C468))),metadata!C468&gt;0))</f>
        <v>0</v>
      </c>
      <c r="X468">
        <f>AND(IF(metadata!D468="",FALSE,TRUE),exact(metadata!D468,"weeks"))</f>
        <v>0</v>
      </c>
      <c r="Y468">
        <f>AND(IF(metadata!E468="",FALSE,TRUE),exact(metadata!E468,"urban biome"))</f>
        <v>0</v>
      </c>
      <c r="Z468">
        <f>AND(IF(metadata!F468="",FALSE,TRUE),exact(metadata!F468,"animal-associated habitat"))</f>
        <v>0</v>
      </c>
      <c r="AA468">
        <f>AND(IF(metadata!G468="",FALSE,TRUE),exact(metadata!G468,"mouse"))</f>
        <v>0</v>
      </c>
      <c r="AB468">
        <f>AND(IF(metadata!H468="",FALSE,TRUE),exact(metadata!H468,"Mus musculus"))</f>
        <v>0</v>
      </c>
      <c r="AC468">
        <f>AND(IF(metadata!I468="",FALSE,TRUE),exact(metadata!I468,"10090"))</f>
        <v>0</v>
      </c>
      <c r="AD468">
        <f>OR(AND(IF(metadata!J468="",FALSE,TRUE),OR(exact(metadata!J468,"not applicable"),exact(metadata!J468,"missing: not collected"),exact(metadata!J468,"missing: not provided"),exact(metadata!J468,"missing: restricted access"))),AND(IF(metadata!J468="",FALSE,ISNUMBER(VALUE(metadata!J468))),metadata!J468&gt;0))</f>
        <v>0</v>
      </c>
      <c r="AE468">
        <f>AND(IF(metadata!K468="",FALSE,TRUE),exact(metadata!K468,"g"))</f>
        <v>0</v>
      </c>
    </row>
    <row r="469" spans="1:31">
      <c r="A469" s="5">
        <f>IF(B469=" "," ",HYPERLINK(CONCATENATE("#metadata!",ADDRESS(INDEX($Q$2:$Q$1001,MATCH(ROWS($O$2:O469),$O$2:$O$1001,0),0),1)),INDEX($T$2:$T$1001,MATCH(ROWS($O$2:O469),$O$2:$O$1001,0),0)))</f>
        <v>0</v>
      </c>
      <c r="B469" s="4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4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4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4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4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4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4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4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4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4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OR(AND(IF(metadata!C469="",FALSE,TRUE),OR(exact(metadata!C469,"not applicable"),exact(metadata!C469,"missing: not collected"),exact(metadata!C469,"missing: not provided"),exact(metadata!C469,"missing: restricted access"))),AND(IF(metadata!C469="",FALSE,ISNUMBER(VALUE(metadata!C469))),metadata!C469&gt;0))</f>
        <v>0</v>
      </c>
      <c r="X469">
        <f>AND(IF(metadata!D469="",FALSE,TRUE),exact(metadata!D469,"weeks"))</f>
        <v>0</v>
      </c>
      <c r="Y469">
        <f>AND(IF(metadata!E469="",FALSE,TRUE),exact(metadata!E469,"urban biome"))</f>
        <v>0</v>
      </c>
      <c r="Z469">
        <f>AND(IF(metadata!F469="",FALSE,TRUE),exact(metadata!F469,"animal-associated habitat"))</f>
        <v>0</v>
      </c>
      <c r="AA469">
        <f>AND(IF(metadata!G469="",FALSE,TRUE),exact(metadata!G469,"mouse"))</f>
        <v>0</v>
      </c>
      <c r="AB469">
        <f>AND(IF(metadata!H469="",FALSE,TRUE),exact(metadata!H469,"Mus musculus"))</f>
        <v>0</v>
      </c>
      <c r="AC469">
        <f>AND(IF(metadata!I469="",FALSE,TRUE),exact(metadata!I469,"10090"))</f>
        <v>0</v>
      </c>
      <c r="AD469">
        <f>OR(AND(IF(metadata!J469="",FALSE,TRUE),OR(exact(metadata!J469,"not applicable"),exact(metadata!J469,"missing: not collected"),exact(metadata!J469,"missing: not provided"),exact(metadata!J469,"missing: restricted access"))),AND(IF(metadata!J469="",FALSE,ISNUMBER(VALUE(metadata!J469))),metadata!J469&gt;0))</f>
        <v>0</v>
      </c>
      <c r="AE469">
        <f>AND(IF(metadata!K469="",FALSE,TRUE),exact(metadata!K469,"g"))</f>
        <v>0</v>
      </c>
    </row>
    <row r="470" spans="1:31">
      <c r="A470" s="5">
        <f>IF(B470=" "," ",HYPERLINK(CONCATENATE("#metadata!",ADDRESS(INDEX($Q$2:$Q$1001,MATCH(ROWS($O$2:O470),$O$2:$O$1001,0),0),1)),INDEX($T$2:$T$1001,MATCH(ROWS($O$2:O470),$O$2:$O$1001,0),0)))</f>
        <v>0</v>
      </c>
      <c r="B470" s="4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4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4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4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4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4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4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4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4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4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OR(AND(IF(metadata!C470="",FALSE,TRUE),OR(exact(metadata!C470,"not applicable"),exact(metadata!C470,"missing: not collected"),exact(metadata!C470,"missing: not provided"),exact(metadata!C470,"missing: restricted access"))),AND(IF(metadata!C470="",FALSE,ISNUMBER(VALUE(metadata!C470))),metadata!C470&gt;0))</f>
        <v>0</v>
      </c>
      <c r="X470">
        <f>AND(IF(metadata!D470="",FALSE,TRUE),exact(metadata!D470,"weeks"))</f>
        <v>0</v>
      </c>
      <c r="Y470">
        <f>AND(IF(metadata!E470="",FALSE,TRUE),exact(metadata!E470,"urban biome"))</f>
        <v>0</v>
      </c>
      <c r="Z470">
        <f>AND(IF(metadata!F470="",FALSE,TRUE),exact(metadata!F470,"animal-associated habitat"))</f>
        <v>0</v>
      </c>
      <c r="AA470">
        <f>AND(IF(metadata!G470="",FALSE,TRUE),exact(metadata!G470,"mouse"))</f>
        <v>0</v>
      </c>
      <c r="AB470">
        <f>AND(IF(metadata!H470="",FALSE,TRUE),exact(metadata!H470,"Mus musculus"))</f>
        <v>0</v>
      </c>
      <c r="AC470">
        <f>AND(IF(metadata!I470="",FALSE,TRUE),exact(metadata!I470,"10090"))</f>
        <v>0</v>
      </c>
      <c r="AD470">
        <f>OR(AND(IF(metadata!J470="",FALSE,TRUE),OR(exact(metadata!J470,"not applicable"),exact(metadata!J470,"missing: not collected"),exact(metadata!J470,"missing: not provided"),exact(metadata!J470,"missing: restricted access"))),AND(IF(metadata!J470="",FALSE,ISNUMBER(VALUE(metadata!J470))),metadata!J470&gt;0))</f>
        <v>0</v>
      </c>
      <c r="AE470">
        <f>AND(IF(metadata!K470="",FALSE,TRUE),exact(metadata!K470,"g"))</f>
        <v>0</v>
      </c>
    </row>
    <row r="471" spans="1:31">
      <c r="A471" s="5">
        <f>IF(B471=" "," ",HYPERLINK(CONCATENATE("#metadata!",ADDRESS(INDEX($Q$2:$Q$1001,MATCH(ROWS($O$2:O471),$O$2:$O$1001,0),0),1)),INDEX($T$2:$T$1001,MATCH(ROWS($O$2:O471),$O$2:$O$1001,0),0)))</f>
        <v>0</v>
      </c>
      <c r="B471" s="4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4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4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4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4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4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4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4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4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4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OR(AND(IF(metadata!C471="",FALSE,TRUE),OR(exact(metadata!C471,"not applicable"),exact(metadata!C471,"missing: not collected"),exact(metadata!C471,"missing: not provided"),exact(metadata!C471,"missing: restricted access"))),AND(IF(metadata!C471="",FALSE,ISNUMBER(VALUE(metadata!C471))),metadata!C471&gt;0))</f>
        <v>0</v>
      </c>
      <c r="X471">
        <f>AND(IF(metadata!D471="",FALSE,TRUE),exact(metadata!D471,"weeks"))</f>
        <v>0</v>
      </c>
      <c r="Y471">
        <f>AND(IF(metadata!E471="",FALSE,TRUE),exact(metadata!E471,"urban biome"))</f>
        <v>0</v>
      </c>
      <c r="Z471">
        <f>AND(IF(metadata!F471="",FALSE,TRUE),exact(metadata!F471,"animal-associated habitat"))</f>
        <v>0</v>
      </c>
      <c r="AA471">
        <f>AND(IF(metadata!G471="",FALSE,TRUE),exact(metadata!G471,"mouse"))</f>
        <v>0</v>
      </c>
      <c r="AB471">
        <f>AND(IF(metadata!H471="",FALSE,TRUE),exact(metadata!H471,"Mus musculus"))</f>
        <v>0</v>
      </c>
      <c r="AC471">
        <f>AND(IF(metadata!I471="",FALSE,TRUE),exact(metadata!I471,"10090"))</f>
        <v>0</v>
      </c>
      <c r="AD471">
        <f>OR(AND(IF(metadata!J471="",FALSE,TRUE),OR(exact(metadata!J471,"not applicable"),exact(metadata!J471,"missing: not collected"),exact(metadata!J471,"missing: not provided"),exact(metadata!J471,"missing: restricted access"))),AND(IF(metadata!J471="",FALSE,ISNUMBER(VALUE(metadata!J471))),metadata!J471&gt;0))</f>
        <v>0</v>
      </c>
      <c r="AE471">
        <f>AND(IF(metadata!K471="",FALSE,TRUE),exact(metadata!K471,"g"))</f>
        <v>0</v>
      </c>
    </row>
    <row r="472" spans="1:31">
      <c r="A472" s="5">
        <f>IF(B472=" "," ",HYPERLINK(CONCATENATE("#metadata!",ADDRESS(INDEX($Q$2:$Q$1001,MATCH(ROWS($O$2:O472),$O$2:$O$1001,0),0),1)),INDEX($T$2:$T$1001,MATCH(ROWS($O$2:O472),$O$2:$O$1001,0),0)))</f>
        <v>0</v>
      </c>
      <c r="B472" s="4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4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4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4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4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4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4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4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4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4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OR(AND(IF(metadata!C472="",FALSE,TRUE),OR(exact(metadata!C472,"not applicable"),exact(metadata!C472,"missing: not collected"),exact(metadata!C472,"missing: not provided"),exact(metadata!C472,"missing: restricted access"))),AND(IF(metadata!C472="",FALSE,ISNUMBER(VALUE(metadata!C472))),metadata!C472&gt;0))</f>
        <v>0</v>
      </c>
      <c r="X472">
        <f>AND(IF(metadata!D472="",FALSE,TRUE),exact(metadata!D472,"weeks"))</f>
        <v>0</v>
      </c>
      <c r="Y472">
        <f>AND(IF(metadata!E472="",FALSE,TRUE),exact(metadata!E472,"urban biome"))</f>
        <v>0</v>
      </c>
      <c r="Z472">
        <f>AND(IF(metadata!F472="",FALSE,TRUE),exact(metadata!F472,"animal-associated habitat"))</f>
        <v>0</v>
      </c>
      <c r="AA472">
        <f>AND(IF(metadata!G472="",FALSE,TRUE),exact(metadata!G472,"mouse"))</f>
        <v>0</v>
      </c>
      <c r="AB472">
        <f>AND(IF(metadata!H472="",FALSE,TRUE),exact(metadata!H472,"Mus musculus"))</f>
        <v>0</v>
      </c>
      <c r="AC472">
        <f>AND(IF(metadata!I472="",FALSE,TRUE),exact(metadata!I472,"10090"))</f>
        <v>0</v>
      </c>
      <c r="AD472">
        <f>OR(AND(IF(metadata!J472="",FALSE,TRUE),OR(exact(metadata!J472,"not applicable"),exact(metadata!J472,"missing: not collected"),exact(metadata!J472,"missing: not provided"),exact(metadata!J472,"missing: restricted access"))),AND(IF(metadata!J472="",FALSE,ISNUMBER(VALUE(metadata!J472))),metadata!J472&gt;0))</f>
        <v>0</v>
      </c>
      <c r="AE472">
        <f>AND(IF(metadata!K472="",FALSE,TRUE),exact(metadata!K472,"g"))</f>
        <v>0</v>
      </c>
    </row>
    <row r="473" spans="1:31">
      <c r="A473" s="5">
        <f>IF(B473=" "," ",HYPERLINK(CONCATENATE("#metadata!",ADDRESS(INDEX($Q$2:$Q$1001,MATCH(ROWS($O$2:O473),$O$2:$O$1001,0),0),1)),INDEX($T$2:$T$1001,MATCH(ROWS($O$2:O473),$O$2:$O$1001,0),0)))</f>
        <v>0</v>
      </c>
      <c r="B473" s="4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4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4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4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4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4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4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4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4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4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OR(AND(IF(metadata!C473="",FALSE,TRUE),OR(exact(metadata!C473,"not applicable"),exact(metadata!C473,"missing: not collected"),exact(metadata!C473,"missing: not provided"),exact(metadata!C473,"missing: restricted access"))),AND(IF(metadata!C473="",FALSE,ISNUMBER(VALUE(metadata!C473))),metadata!C473&gt;0))</f>
        <v>0</v>
      </c>
      <c r="X473">
        <f>AND(IF(metadata!D473="",FALSE,TRUE),exact(metadata!D473,"weeks"))</f>
        <v>0</v>
      </c>
      <c r="Y473">
        <f>AND(IF(metadata!E473="",FALSE,TRUE),exact(metadata!E473,"urban biome"))</f>
        <v>0</v>
      </c>
      <c r="Z473">
        <f>AND(IF(metadata!F473="",FALSE,TRUE),exact(metadata!F473,"animal-associated habitat"))</f>
        <v>0</v>
      </c>
      <c r="AA473">
        <f>AND(IF(metadata!G473="",FALSE,TRUE),exact(metadata!G473,"mouse"))</f>
        <v>0</v>
      </c>
      <c r="AB473">
        <f>AND(IF(metadata!H473="",FALSE,TRUE),exact(metadata!H473,"Mus musculus"))</f>
        <v>0</v>
      </c>
      <c r="AC473">
        <f>AND(IF(metadata!I473="",FALSE,TRUE),exact(metadata!I473,"10090"))</f>
        <v>0</v>
      </c>
      <c r="AD473">
        <f>OR(AND(IF(metadata!J473="",FALSE,TRUE),OR(exact(metadata!J473,"not applicable"),exact(metadata!J473,"missing: not collected"),exact(metadata!J473,"missing: not provided"),exact(metadata!J473,"missing: restricted access"))),AND(IF(metadata!J473="",FALSE,ISNUMBER(VALUE(metadata!J473))),metadata!J473&gt;0))</f>
        <v>0</v>
      </c>
      <c r="AE473">
        <f>AND(IF(metadata!K473="",FALSE,TRUE),exact(metadata!K473,"g"))</f>
        <v>0</v>
      </c>
    </row>
    <row r="474" spans="1:31">
      <c r="A474" s="5">
        <f>IF(B474=" "," ",HYPERLINK(CONCATENATE("#metadata!",ADDRESS(INDEX($Q$2:$Q$1001,MATCH(ROWS($O$2:O474),$O$2:$O$1001,0),0),1)),INDEX($T$2:$T$1001,MATCH(ROWS($O$2:O474),$O$2:$O$1001,0),0)))</f>
        <v>0</v>
      </c>
      <c r="B474" s="4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4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4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4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4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4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4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4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4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4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OR(AND(IF(metadata!C474="",FALSE,TRUE),OR(exact(metadata!C474,"not applicable"),exact(metadata!C474,"missing: not collected"),exact(metadata!C474,"missing: not provided"),exact(metadata!C474,"missing: restricted access"))),AND(IF(metadata!C474="",FALSE,ISNUMBER(VALUE(metadata!C474))),metadata!C474&gt;0))</f>
        <v>0</v>
      </c>
      <c r="X474">
        <f>AND(IF(metadata!D474="",FALSE,TRUE),exact(metadata!D474,"weeks"))</f>
        <v>0</v>
      </c>
      <c r="Y474">
        <f>AND(IF(metadata!E474="",FALSE,TRUE),exact(metadata!E474,"urban biome"))</f>
        <v>0</v>
      </c>
      <c r="Z474">
        <f>AND(IF(metadata!F474="",FALSE,TRUE),exact(metadata!F474,"animal-associated habitat"))</f>
        <v>0</v>
      </c>
      <c r="AA474">
        <f>AND(IF(metadata!G474="",FALSE,TRUE),exact(metadata!G474,"mouse"))</f>
        <v>0</v>
      </c>
      <c r="AB474">
        <f>AND(IF(metadata!H474="",FALSE,TRUE),exact(metadata!H474,"Mus musculus"))</f>
        <v>0</v>
      </c>
      <c r="AC474">
        <f>AND(IF(metadata!I474="",FALSE,TRUE),exact(metadata!I474,"10090"))</f>
        <v>0</v>
      </c>
      <c r="AD474">
        <f>OR(AND(IF(metadata!J474="",FALSE,TRUE),OR(exact(metadata!J474,"not applicable"),exact(metadata!J474,"missing: not collected"),exact(metadata!J474,"missing: not provided"),exact(metadata!J474,"missing: restricted access"))),AND(IF(metadata!J474="",FALSE,ISNUMBER(VALUE(metadata!J474))),metadata!J474&gt;0))</f>
        <v>0</v>
      </c>
      <c r="AE474">
        <f>AND(IF(metadata!K474="",FALSE,TRUE),exact(metadata!K474,"g"))</f>
        <v>0</v>
      </c>
    </row>
    <row r="475" spans="1:31">
      <c r="A475" s="5">
        <f>IF(B475=" "," ",HYPERLINK(CONCATENATE("#metadata!",ADDRESS(INDEX($Q$2:$Q$1001,MATCH(ROWS($O$2:O475),$O$2:$O$1001,0),0),1)),INDEX($T$2:$T$1001,MATCH(ROWS($O$2:O475),$O$2:$O$1001,0),0)))</f>
        <v>0</v>
      </c>
      <c r="B475" s="4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4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4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4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4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4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4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4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4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4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OR(AND(IF(metadata!C475="",FALSE,TRUE),OR(exact(metadata!C475,"not applicable"),exact(metadata!C475,"missing: not collected"),exact(metadata!C475,"missing: not provided"),exact(metadata!C475,"missing: restricted access"))),AND(IF(metadata!C475="",FALSE,ISNUMBER(VALUE(metadata!C475))),metadata!C475&gt;0))</f>
        <v>0</v>
      </c>
      <c r="X475">
        <f>AND(IF(metadata!D475="",FALSE,TRUE),exact(metadata!D475,"weeks"))</f>
        <v>0</v>
      </c>
      <c r="Y475">
        <f>AND(IF(metadata!E475="",FALSE,TRUE),exact(metadata!E475,"urban biome"))</f>
        <v>0</v>
      </c>
      <c r="Z475">
        <f>AND(IF(metadata!F475="",FALSE,TRUE),exact(metadata!F475,"animal-associated habitat"))</f>
        <v>0</v>
      </c>
      <c r="AA475">
        <f>AND(IF(metadata!G475="",FALSE,TRUE),exact(metadata!G475,"mouse"))</f>
        <v>0</v>
      </c>
      <c r="AB475">
        <f>AND(IF(metadata!H475="",FALSE,TRUE),exact(metadata!H475,"Mus musculus"))</f>
        <v>0</v>
      </c>
      <c r="AC475">
        <f>AND(IF(metadata!I475="",FALSE,TRUE),exact(metadata!I475,"10090"))</f>
        <v>0</v>
      </c>
      <c r="AD475">
        <f>OR(AND(IF(metadata!J475="",FALSE,TRUE),OR(exact(metadata!J475,"not applicable"),exact(metadata!J475,"missing: not collected"),exact(metadata!J475,"missing: not provided"),exact(metadata!J475,"missing: restricted access"))),AND(IF(metadata!J475="",FALSE,ISNUMBER(VALUE(metadata!J475))),metadata!J475&gt;0))</f>
        <v>0</v>
      </c>
      <c r="AE475">
        <f>AND(IF(metadata!K475="",FALSE,TRUE),exact(metadata!K475,"g"))</f>
        <v>0</v>
      </c>
    </row>
    <row r="476" spans="1:31">
      <c r="A476" s="5">
        <f>IF(B476=" "," ",HYPERLINK(CONCATENATE("#metadata!",ADDRESS(INDEX($Q$2:$Q$1001,MATCH(ROWS($O$2:O476),$O$2:$O$1001,0),0),1)),INDEX($T$2:$T$1001,MATCH(ROWS($O$2:O476),$O$2:$O$1001,0),0)))</f>
        <v>0</v>
      </c>
      <c r="B476" s="4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4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4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4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4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4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4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4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4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4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OR(AND(IF(metadata!C476="",FALSE,TRUE),OR(exact(metadata!C476,"not applicable"),exact(metadata!C476,"missing: not collected"),exact(metadata!C476,"missing: not provided"),exact(metadata!C476,"missing: restricted access"))),AND(IF(metadata!C476="",FALSE,ISNUMBER(VALUE(metadata!C476))),metadata!C476&gt;0))</f>
        <v>0</v>
      </c>
      <c r="X476">
        <f>AND(IF(metadata!D476="",FALSE,TRUE),exact(metadata!D476,"weeks"))</f>
        <v>0</v>
      </c>
      <c r="Y476">
        <f>AND(IF(metadata!E476="",FALSE,TRUE),exact(metadata!E476,"urban biome"))</f>
        <v>0</v>
      </c>
      <c r="Z476">
        <f>AND(IF(metadata!F476="",FALSE,TRUE),exact(metadata!F476,"animal-associated habitat"))</f>
        <v>0</v>
      </c>
      <c r="AA476">
        <f>AND(IF(metadata!G476="",FALSE,TRUE),exact(metadata!G476,"mouse"))</f>
        <v>0</v>
      </c>
      <c r="AB476">
        <f>AND(IF(metadata!H476="",FALSE,TRUE),exact(metadata!H476,"Mus musculus"))</f>
        <v>0</v>
      </c>
      <c r="AC476">
        <f>AND(IF(metadata!I476="",FALSE,TRUE),exact(metadata!I476,"10090"))</f>
        <v>0</v>
      </c>
      <c r="AD476">
        <f>OR(AND(IF(metadata!J476="",FALSE,TRUE),OR(exact(metadata!J476,"not applicable"),exact(metadata!J476,"missing: not collected"),exact(metadata!J476,"missing: not provided"),exact(metadata!J476,"missing: restricted access"))),AND(IF(metadata!J476="",FALSE,ISNUMBER(VALUE(metadata!J476))),metadata!J476&gt;0))</f>
        <v>0</v>
      </c>
      <c r="AE476">
        <f>AND(IF(metadata!K476="",FALSE,TRUE),exact(metadata!K476,"g"))</f>
        <v>0</v>
      </c>
    </row>
    <row r="477" spans="1:31">
      <c r="A477" s="5">
        <f>IF(B477=" "," ",HYPERLINK(CONCATENATE("#metadata!",ADDRESS(INDEX($Q$2:$Q$1001,MATCH(ROWS($O$2:O477),$O$2:$O$1001,0),0),1)),INDEX($T$2:$T$1001,MATCH(ROWS($O$2:O477),$O$2:$O$1001,0),0)))</f>
        <v>0</v>
      </c>
      <c r="B477" s="4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4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4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4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4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4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4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4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4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4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OR(AND(IF(metadata!C477="",FALSE,TRUE),OR(exact(metadata!C477,"not applicable"),exact(metadata!C477,"missing: not collected"),exact(metadata!C477,"missing: not provided"),exact(metadata!C477,"missing: restricted access"))),AND(IF(metadata!C477="",FALSE,ISNUMBER(VALUE(metadata!C477))),metadata!C477&gt;0))</f>
        <v>0</v>
      </c>
      <c r="X477">
        <f>AND(IF(metadata!D477="",FALSE,TRUE),exact(metadata!D477,"weeks"))</f>
        <v>0</v>
      </c>
      <c r="Y477">
        <f>AND(IF(metadata!E477="",FALSE,TRUE),exact(metadata!E477,"urban biome"))</f>
        <v>0</v>
      </c>
      <c r="Z477">
        <f>AND(IF(metadata!F477="",FALSE,TRUE),exact(metadata!F477,"animal-associated habitat"))</f>
        <v>0</v>
      </c>
      <c r="AA477">
        <f>AND(IF(metadata!G477="",FALSE,TRUE),exact(metadata!G477,"mouse"))</f>
        <v>0</v>
      </c>
      <c r="AB477">
        <f>AND(IF(metadata!H477="",FALSE,TRUE),exact(metadata!H477,"Mus musculus"))</f>
        <v>0</v>
      </c>
      <c r="AC477">
        <f>AND(IF(metadata!I477="",FALSE,TRUE),exact(metadata!I477,"10090"))</f>
        <v>0</v>
      </c>
      <c r="AD477">
        <f>OR(AND(IF(metadata!J477="",FALSE,TRUE),OR(exact(metadata!J477,"not applicable"),exact(metadata!J477,"missing: not collected"),exact(metadata!J477,"missing: not provided"),exact(metadata!J477,"missing: restricted access"))),AND(IF(metadata!J477="",FALSE,ISNUMBER(VALUE(metadata!J477))),metadata!J477&gt;0))</f>
        <v>0</v>
      </c>
      <c r="AE477">
        <f>AND(IF(metadata!K477="",FALSE,TRUE),exact(metadata!K477,"g"))</f>
        <v>0</v>
      </c>
    </row>
    <row r="478" spans="1:31">
      <c r="A478" s="5">
        <f>IF(B478=" "," ",HYPERLINK(CONCATENATE("#metadata!",ADDRESS(INDEX($Q$2:$Q$1001,MATCH(ROWS($O$2:O478),$O$2:$O$1001,0),0),1)),INDEX($T$2:$T$1001,MATCH(ROWS($O$2:O478),$O$2:$O$1001,0),0)))</f>
        <v>0</v>
      </c>
      <c r="B478" s="4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4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4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4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4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4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4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4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4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4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OR(AND(IF(metadata!C478="",FALSE,TRUE),OR(exact(metadata!C478,"not applicable"),exact(metadata!C478,"missing: not collected"),exact(metadata!C478,"missing: not provided"),exact(metadata!C478,"missing: restricted access"))),AND(IF(metadata!C478="",FALSE,ISNUMBER(VALUE(metadata!C478))),metadata!C478&gt;0))</f>
        <v>0</v>
      </c>
      <c r="X478">
        <f>AND(IF(metadata!D478="",FALSE,TRUE),exact(metadata!D478,"weeks"))</f>
        <v>0</v>
      </c>
      <c r="Y478">
        <f>AND(IF(metadata!E478="",FALSE,TRUE),exact(metadata!E478,"urban biome"))</f>
        <v>0</v>
      </c>
      <c r="Z478">
        <f>AND(IF(metadata!F478="",FALSE,TRUE),exact(metadata!F478,"animal-associated habitat"))</f>
        <v>0</v>
      </c>
      <c r="AA478">
        <f>AND(IF(metadata!G478="",FALSE,TRUE),exact(metadata!G478,"mouse"))</f>
        <v>0</v>
      </c>
      <c r="AB478">
        <f>AND(IF(metadata!H478="",FALSE,TRUE),exact(metadata!H478,"Mus musculus"))</f>
        <v>0</v>
      </c>
      <c r="AC478">
        <f>AND(IF(metadata!I478="",FALSE,TRUE),exact(metadata!I478,"10090"))</f>
        <v>0</v>
      </c>
      <c r="AD478">
        <f>OR(AND(IF(metadata!J478="",FALSE,TRUE),OR(exact(metadata!J478,"not applicable"),exact(metadata!J478,"missing: not collected"),exact(metadata!J478,"missing: not provided"),exact(metadata!J478,"missing: restricted access"))),AND(IF(metadata!J478="",FALSE,ISNUMBER(VALUE(metadata!J478))),metadata!J478&gt;0))</f>
        <v>0</v>
      </c>
      <c r="AE478">
        <f>AND(IF(metadata!K478="",FALSE,TRUE),exact(metadata!K478,"g"))</f>
        <v>0</v>
      </c>
    </row>
    <row r="479" spans="1:31">
      <c r="A479" s="5">
        <f>IF(B479=" "," ",HYPERLINK(CONCATENATE("#metadata!",ADDRESS(INDEX($Q$2:$Q$1001,MATCH(ROWS($O$2:O479),$O$2:$O$1001,0),0),1)),INDEX($T$2:$T$1001,MATCH(ROWS($O$2:O479),$O$2:$O$1001,0),0)))</f>
        <v>0</v>
      </c>
      <c r="B479" s="4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4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4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4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4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4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4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4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4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4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OR(AND(IF(metadata!C479="",FALSE,TRUE),OR(exact(metadata!C479,"not applicable"),exact(metadata!C479,"missing: not collected"),exact(metadata!C479,"missing: not provided"),exact(metadata!C479,"missing: restricted access"))),AND(IF(metadata!C479="",FALSE,ISNUMBER(VALUE(metadata!C479))),metadata!C479&gt;0))</f>
        <v>0</v>
      </c>
      <c r="X479">
        <f>AND(IF(metadata!D479="",FALSE,TRUE),exact(metadata!D479,"weeks"))</f>
        <v>0</v>
      </c>
      <c r="Y479">
        <f>AND(IF(metadata!E479="",FALSE,TRUE),exact(metadata!E479,"urban biome"))</f>
        <v>0</v>
      </c>
      <c r="Z479">
        <f>AND(IF(metadata!F479="",FALSE,TRUE),exact(metadata!F479,"animal-associated habitat"))</f>
        <v>0</v>
      </c>
      <c r="AA479">
        <f>AND(IF(metadata!G479="",FALSE,TRUE),exact(metadata!G479,"mouse"))</f>
        <v>0</v>
      </c>
      <c r="AB479">
        <f>AND(IF(metadata!H479="",FALSE,TRUE),exact(metadata!H479,"Mus musculus"))</f>
        <v>0</v>
      </c>
      <c r="AC479">
        <f>AND(IF(metadata!I479="",FALSE,TRUE),exact(metadata!I479,"10090"))</f>
        <v>0</v>
      </c>
      <c r="AD479">
        <f>OR(AND(IF(metadata!J479="",FALSE,TRUE),OR(exact(metadata!J479,"not applicable"),exact(metadata!J479,"missing: not collected"),exact(metadata!J479,"missing: not provided"),exact(metadata!J479,"missing: restricted access"))),AND(IF(metadata!J479="",FALSE,ISNUMBER(VALUE(metadata!J479))),metadata!J479&gt;0))</f>
        <v>0</v>
      </c>
      <c r="AE479">
        <f>AND(IF(metadata!K479="",FALSE,TRUE),exact(metadata!K479,"g"))</f>
        <v>0</v>
      </c>
    </row>
    <row r="480" spans="1:31">
      <c r="A480" s="5">
        <f>IF(B480=" "," ",HYPERLINK(CONCATENATE("#metadata!",ADDRESS(INDEX($Q$2:$Q$1001,MATCH(ROWS($O$2:O480),$O$2:$O$1001,0),0),1)),INDEX($T$2:$T$1001,MATCH(ROWS($O$2:O480),$O$2:$O$1001,0),0)))</f>
        <v>0</v>
      </c>
      <c r="B480" s="4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4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4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4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4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4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4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4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4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4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OR(AND(IF(metadata!C480="",FALSE,TRUE),OR(exact(metadata!C480,"not applicable"),exact(metadata!C480,"missing: not collected"),exact(metadata!C480,"missing: not provided"),exact(metadata!C480,"missing: restricted access"))),AND(IF(metadata!C480="",FALSE,ISNUMBER(VALUE(metadata!C480))),metadata!C480&gt;0))</f>
        <v>0</v>
      </c>
      <c r="X480">
        <f>AND(IF(metadata!D480="",FALSE,TRUE),exact(metadata!D480,"weeks"))</f>
        <v>0</v>
      </c>
      <c r="Y480">
        <f>AND(IF(metadata!E480="",FALSE,TRUE),exact(metadata!E480,"urban biome"))</f>
        <v>0</v>
      </c>
      <c r="Z480">
        <f>AND(IF(metadata!F480="",FALSE,TRUE),exact(metadata!F480,"animal-associated habitat"))</f>
        <v>0</v>
      </c>
      <c r="AA480">
        <f>AND(IF(metadata!G480="",FALSE,TRUE),exact(metadata!G480,"mouse"))</f>
        <v>0</v>
      </c>
      <c r="AB480">
        <f>AND(IF(metadata!H480="",FALSE,TRUE),exact(metadata!H480,"Mus musculus"))</f>
        <v>0</v>
      </c>
      <c r="AC480">
        <f>AND(IF(metadata!I480="",FALSE,TRUE),exact(metadata!I480,"10090"))</f>
        <v>0</v>
      </c>
      <c r="AD480">
        <f>OR(AND(IF(metadata!J480="",FALSE,TRUE),OR(exact(metadata!J480,"not applicable"),exact(metadata!J480,"missing: not collected"),exact(metadata!J480,"missing: not provided"),exact(metadata!J480,"missing: restricted access"))),AND(IF(metadata!J480="",FALSE,ISNUMBER(VALUE(metadata!J480))),metadata!J480&gt;0))</f>
        <v>0</v>
      </c>
      <c r="AE480">
        <f>AND(IF(metadata!K480="",FALSE,TRUE),exact(metadata!K480,"g"))</f>
        <v>0</v>
      </c>
    </row>
    <row r="481" spans="1:31">
      <c r="A481" s="5">
        <f>IF(B481=" "," ",HYPERLINK(CONCATENATE("#metadata!",ADDRESS(INDEX($Q$2:$Q$1001,MATCH(ROWS($O$2:O481),$O$2:$O$1001,0),0),1)),INDEX($T$2:$T$1001,MATCH(ROWS($O$2:O481),$O$2:$O$1001,0),0)))</f>
        <v>0</v>
      </c>
      <c r="B481" s="4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4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4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4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4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4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4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4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4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4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OR(AND(IF(metadata!C481="",FALSE,TRUE),OR(exact(metadata!C481,"not applicable"),exact(metadata!C481,"missing: not collected"),exact(metadata!C481,"missing: not provided"),exact(metadata!C481,"missing: restricted access"))),AND(IF(metadata!C481="",FALSE,ISNUMBER(VALUE(metadata!C481))),metadata!C481&gt;0))</f>
        <v>0</v>
      </c>
      <c r="X481">
        <f>AND(IF(metadata!D481="",FALSE,TRUE),exact(metadata!D481,"weeks"))</f>
        <v>0</v>
      </c>
      <c r="Y481">
        <f>AND(IF(metadata!E481="",FALSE,TRUE),exact(metadata!E481,"urban biome"))</f>
        <v>0</v>
      </c>
      <c r="Z481">
        <f>AND(IF(metadata!F481="",FALSE,TRUE),exact(metadata!F481,"animal-associated habitat"))</f>
        <v>0</v>
      </c>
      <c r="AA481">
        <f>AND(IF(metadata!G481="",FALSE,TRUE),exact(metadata!G481,"mouse"))</f>
        <v>0</v>
      </c>
      <c r="AB481">
        <f>AND(IF(metadata!H481="",FALSE,TRUE),exact(metadata!H481,"Mus musculus"))</f>
        <v>0</v>
      </c>
      <c r="AC481">
        <f>AND(IF(metadata!I481="",FALSE,TRUE),exact(metadata!I481,"10090"))</f>
        <v>0</v>
      </c>
      <c r="AD481">
        <f>OR(AND(IF(metadata!J481="",FALSE,TRUE),OR(exact(metadata!J481,"not applicable"),exact(metadata!J481,"missing: not collected"),exact(metadata!J481,"missing: not provided"),exact(metadata!J481,"missing: restricted access"))),AND(IF(metadata!J481="",FALSE,ISNUMBER(VALUE(metadata!J481))),metadata!J481&gt;0))</f>
        <v>0</v>
      </c>
      <c r="AE481">
        <f>AND(IF(metadata!K481="",FALSE,TRUE),exact(metadata!K481,"g"))</f>
        <v>0</v>
      </c>
    </row>
    <row r="482" spans="1:31">
      <c r="A482" s="5">
        <f>IF(B482=" "," ",HYPERLINK(CONCATENATE("#metadata!",ADDRESS(INDEX($Q$2:$Q$1001,MATCH(ROWS($O$2:O482),$O$2:$O$1001,0),0),1)),INDEX($T$2:$T$1001,MATCH(ROWS($O$2:O482),$O$2:$O$1001,0),0)))</f>
        <v>0</v>
      </c>
      <c r="B482" s="4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4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4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4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4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4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4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4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4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4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OR(AND(IF(metadata!C482="",FALSE,TRUE),OR(exact(metadata!C482,"not applicable"),exact(metadata!C482,"missing: not collected"),exact(metadata!C482,"missing: not provided"),exact(metadata!C482,"missing: restricted access"))),AND(IF(metadata!C482="",FALSE,ISNUMBER(VALUE(metadata!C482))),metadata!C482&gt;0))</f>
        <v>0</v>
      </c>
      <c r="X482">
        <f>AND(IF(metadata!D482="",FALSE,TRUE),exact(metadata!D482,"weeks"))</f>
        <v>0</v>
      </c>
      <c r="Y482">
        <f>AND(IF(metadata!E482="",FALSE,TRUE),exact(metadata!E482,"urban biome"))</f>
        <v>0</v>
      </c>
      <c r="Z482">
        <f>AND(IF(metadata!F482="",FALSE,TRUE),exact(metadata!F482,"animal-associated habitat"))</f>
        <v>0</v>
      </c>
      <c r="AA482">
        <f>AND(IF(metadata!G482="",FALSE,TRUE),exact(metadata!G482,"mouse"))</f>
        <v>0</v>
      </c>
      <c r="AB482">
        <f>AND(IF(metadata!H482="",FALSE,TRUE),exact(metadata!H482,"Mus musculus"))</f>
        <v>0</v>
      </c>
      <c r="AC482">
        <f>AND(IF(metadata!I482="",FALSE,TRUE),exact(metadata!I482,"10090"))</f>
        <v>0</v>
      </c>
      <c r="AD482">
        <f>OR(AND(IF(metadata!J482="",FALSE,TRUE),OR(exact(metadata!J482,"not applicable"),exact(metadata!J482,"missing: not collected"),exact(metadata!J482,"missing: not provided"),exact(metadata!J482,"missing: restricted access"))),AND(IF(metadata!J482="",FALSE,ISNUMBER(VALUE(metadata!J482))),metadata!J482&gt;0))</f>
        <v>0</v>
      </c>
      <c r="AE482">
        <f>AND(IF(metadata!K482="",FALSE,TRUE),exact(metadata!K482,"g"))</f>
        <v>0</v>
      </c>
    </row>
    <row r="483" spans="1:31">
      <c r="A483" s="5">
        <f>IF(B483=" "," ",HYPERLINK(CONCATENATE("#metadata!",ADDRESS(INDEX($Q$2:$Q$1001,MATCH(ROWS($O$2:O483),$O$2:$O$1001,0),0),1)),INDEX($T$2:$T$1001,MATCH(ROWS($O$2:O483),$O$2:$O$1001,0),0)))</f>
        <v>0</v>
      </c>
      <c r="B483" s="4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4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4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4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4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4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4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4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4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4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OR(AND(IF(metadata!C483="",FALSE,TRUE),OR(exact(metadata!C483,"not applicable"),exact(metadata!C483,"missing: not collected"),exact(metadata!C483,"missing: not provided"),exact(metadata!C483,"missing: restricted access"))),AND(IF(metadata!C483="",FALSE,ISNUMBER(VALUE(metadata!C483))),metadata!C483&gt;0))</f>
        <v>0</v>
      </c>
      <c r="X483">
        <f>AND(IF(metadata!D483="",FALSE,TRUE),exact(metadata!D483,"weeks"))</f>
        <v>0</v>
      </c>
      <c r="Y483">
        <f>AND(IF(metadata!E483="",FALSE,TRUE),exact(metadata!E483,"urban biome"))</f>
        <v>0</v>
      </c>
      <c r="Z483">
        <f>AND(IF(metadata!F483="",FALSE,TRUE),exact(metadata!F483,"animal-associated habitat"))</f>
        <v>0</v>
      </c>
      <c r="AA483">
        <f>AND(IF(metadata!G483="",FALSE,TRUE),exact(metadata!G483,"mouse"))</f>
        <v>0</v>
      </c>
      <c r="AB483">
        <f>AND(IF(metadata!H483="",FALSE,TRUE),exact(metadata!H483,"Mus musculus"))</f>
        <v>0</v>
      </c>
      <c r="AC483">
        <f>AND(IF(metadata!I483="",FALSE,TRUE),exact(metadata!I483,"10090"))</f>
        <v>0</v>
      </c>
      <c r="AD483">
        <f>OR(AND(IF(metadata!J483="",FALSE,TRUE),OR(exact(metadata!J483,"not applicable"),exact(metadata!J483,"missing: not collected"),exact(metadata!J483,"missing: not provided"),exact(metadata!J483,"missing: restricted access"))),AND(IF(metadata!J483="",FALSE,ISNUMBER(VALUE(metadata!J483))),metadata!J483&gt;0))</f>
        <v>0</v>
      </c>
      <c r="AE483">
        <f>AND(IF(metadata!K483="",FALSE,TRUE),exact(metadata!K483,"g"))</f>
        <v>0</v>
      </c>
    </row>
    <row r="484" spans="1:31">
      <c r="A484" s="5">
        <f>IF(B484=" "," ",HYPERLINK(CONCATENATE("#metadata!",ADDRESS(INDEX($Q$2:$Q$1001,MATCH(ROWS($O$2:O484),$O$2:$O$1001,0),0),1)),INDEX($T$2:$T$1001,MATCH(ROWS($O$2:O484),$O$2:$O$1001,0),0)))</f>
        <v>0</v>
      </c>
      <c r="B484" s="4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4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4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4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4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4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4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4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4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4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OR(AND(IF(metadata!C484="",FALSE,TRUE),OR(exact(metadata!C484,"not applicable"),exact(metadata!C484,"missing: not collected"),exact(metadata!C484,"missing: not provided"),exact(metadata!C484,"missing: restricted access"))),AND(IF(metadata!C484="",FALSE,ISNUMBER(VALUE(metadata!C484))),metadata!C484&gt;0))</f>
        <v>0</v>
      </c>
      <c r="X484">
        <f>AND(IF(metadata!D484="",FALSE,TRUE),exact(metadata!D484,"weeks"))</f>
        <v>0</v>
      </c>
      <c r="Y484">
        <f>AND(IF(metadata!E484="",FALSE,TRUE),exact(metadata!E484,"urban biome"))</f>
        <v>0</v>
      </c>
      <c r="Z484">
        <f>AND(IF(metadata!F484="",FALSE,TRUE),exact(metadata!F484,"animal-associated habitat"))</f>
        <v>0</v>
      </c>
      <c r="AA484">
        <f>AND(IF(metadata!G484="",FALSE,TRUE),exact(metadata!G484,"mouse"))</f>
        <v>0</v>
      </c>
      <c r="AB484">
        <f>AND(IF(metadata!H484="",FALSE,TRUE),exact(metadata!H484,"Mus musculus"))</f>
        <v>0</v>
      </c>
      <c r="AC484">
        <f>AND(IF(metadata!I484="",FALSE,TRUE),exact(metadata!I484,"10090"))</f>
        <v>0</v>
      </c>
      <c r="AD484">
        <f>OR(AND(IF(metadata!J484="",FALSE,TRUE),OR(exact(metadata!J484,"not applicable"),exact(metadata!J484,"missing: not collected"),exact(metadata!J484,"missing: not provided"),exact(metadata!J484,"missing: restricted access"))),AND(IF(metadata!J484="",FALSE,ISNUMBER(VALUE(metadata!J484))),metadata!J484&gt;0))</f>
        <v>0</v>
      </c>
      <c r="AE484">
        <f>AND(IF(metadata!K484="",FALSE,TRUE),exact(metadata!K484,"g"))</f>
        <v>0</v>
      </c>
    </row>
    <row r="485" spans="1:31">
      <c r="A485" s="5">
        <f>IF(B485=" "," ",HYPERLINK(CONCATENATE("#metadata!",ADDRESS(INDEX($Q$2:$Q$1001,MATCH(ROWS($O$2:O485),$O$2:$O$1001,0),0),1)),INDEX($T$2:$T$1001,MATCH(ROWS($O$2:O485),$O$2:$O$1001,0),0)))</f>
        <v>0</v>
      </c>
      <c r="B485" s="4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4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4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4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4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4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4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4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4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4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OR(AND(IF(metadata!C485="",FALSE,TRUE),OR(exact(metadata!C485,"not applicable"),exact(metadata!C485,"missing: not collected"),exact(metadata!C485,"missing: not provided"),exact(metadata!C485,"missing: restricted access"))),AND(IF(metadata!C485="",FALSE,ISNUMBER(VALUE(metadata!C485))),metadata!C485&gt;0))</f>
        <v>0</v>
      </c>
      <c r="X485">
        <f>AND(IF(metadata!D485="",FALSE,TRUE),exact(metadata!D485,"weeks"))</f>
        <v>0</v>
      </c>
      <c r="Y485">
        <f>AND(IF(metadata!E485="",FALSE,TRUE),exact(metadata!E485,"urban biome"))</f>
        <v>0</v>
      </c>
      <c r="Z485">
        <f>AND(IF(metadata!F485="",FALSE,TRUE),exact(metadata!F485,"animal-associated habitat"))</f>
        <v>0</v>
      </c>
      <c r="AA485">
        <f>AND(IF(metadata!G485="",FALSE,TRUE),exact(metadata!G485,"mouse"))</f>
        <v>0</v>
      </c>
      <c r="AB485">
        <f>AND(IF(metadata!H485="",FALSE,TRUE),exact(metadata!H485,"Mus musculus"))</f>
        <v>0</v>
      </c>
      <c r="AC485">
        <f>AND(IF(metadata!I485="",FALSE,TRUE),exact(metadata!I485,"10090"))</f>
        <v>0</v>
      </c>
      <c r="AD485">
        <f>OR(AND(IF(metadata!J485="",FALSE,TRUE),OR(exact(metadata!J485,"not applicable"),exact(metadata!J485,"missing: not collected"),exact(metadata!J485,"missing: not provided"),exact(metadata!J485,"missing: restricted access"))),AND(IF(metadata!J485="",FALSE,ISNUMBER(VALUE(metadata!J485))),metadata!J485&gt;0))</f>
        <v>0</v>
      </c>
      <c r="AE485">
        <f>AND(IF(metadata!K485="",FALSE,TRUE),exact(metadata!K485,"g"))</f>
        <v>0</v>
      </c>
    </row>
    <row r="486" spans="1:31">
      <c r="A486" s="5">
        <f>IF(B486=" "," ",HYPERLINK(CONCATENATE("#metadata!",ADDRESS(INDEX($Q$2:$Q$1001,MATCH(ROWS($O$2:O486),$O$2:$O$1001,0),0),1)),INDEX($T$2:$T$1001,MATCH(ROWS($O$2:O486),$O$2:$O$1001,0),0)))</f>
        <v>0</v>
      </c>
      <c r="B486" s="4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4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4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4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4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4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4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4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4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4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OR(AND(IF(metadata!C486="",FALSE,TRUE),OR(exact(metadata!C486,"not applicable"),exact(metadata!C486,"missing: not collected"),exact(metadata!C486,"missing: not provided"),exact(metadata!C486,"missing: restricted access"))),AND(IF(metadata!C486="",FALSE,ISNUMBER(VALUE(metadata!C486))),metadata!C486&gt;0))</f>
        <v>0</v>
      </c>
      <c r="X486">
        <f>AND(IF(metadata!D486="",FALSE,TRUE),exact(metadata!D486,"weeks"))</f>
        <v>0</v>
      </c>
      <c r="Y486">
        <f>AND(IF(metadata!E486="",FALSE,TRUE),exact(metadata!E486,"urban biome"))</f>
        <v>0</v>
      </c>
      <c r="Z486">
        <f>AND(IF(metadata!F486="",FALSE,TRUE),exact(metadata!F486,"animal-associated habitat"))</f>
        <v>0</v>
      </c>
      <c r="AA486">
        <f>AND(IF(metadata!G486="",FALSE,TRUE),exact(metadata!G486,"mouse"))</f>
        <v>0</v>
      </c>
      <c r="AB486">
        <f>AND(IF(metadata!H486="",FALSE,TRUE),exact(metadata!H486,"Mus musculus"))</f>
        <v>0</v>
      </c>
      <c r="AC486">
        <f>AND(IF(metadata!I486="",FALSE,TRUE),exact(metadata!I486,"10090"))</f>
        <v>0</v>
      </c>
      <c r="AD486">
        <f>OR(AND(IF(metadata!J486="",FALSE,TRUE),OR(exact(metadata!J486,"not applicable"),exact(metadata!J486,"missing: not collected"),exact(metadata!J486,"missing: not provided"),exact(metadata!J486,"missing: restricted access"))),AND(IF(metadata!J486="",FALSE,ISNUMBER(VALUE(metadata!J486))),metadata!J486&gt;0))</f>
        <v>0</v>
      </c>
      <c r="AE486">
        <f>AND(IF(metadata!K486="",FALSE,TRUE),exact(metadata!K486,"g"))</f>
        <v>0</v>
      </c>
    </row>
    <row r="487" spans="1:31">
      <c r="A487" s="5">
        <f>IF(B487=" "," ",HYPERLINK(CONCATENATE("#metadata!",ADDRESS(INDEX($Q$2:$Q$1001,MATCH(ROWS($O$2:O487),$O$2:$O$1001,0),0),1)),INDEX($T$2:$T$1001,MATCH(ROWS($O$2:O487),$O$2:$O$1001,0),0)))</f>
        <v>0</v>
      </c>
      <c r="B487" s="4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4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4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4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4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4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4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4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4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4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OR(AND(IF(metadata!C487="",FALSE,TRUE),OR(exact(metadata!C487,"not applicable"),exact(metadata!C487,"missing: not collected"),exact(metadata!C487,"missing: not provided"),exact(metadata!C487,"missing: restricted access"))),AND(IF(metadata!C487="",FALSE,ISNUMBER(VALUE(metadata!C487))),metadata!C487&gt;0))</f>
        <v>0</v>
      </c>
      <c r="X487">
        <f>AND(IF(metadata!D487="",FALSE,TRUE),exact(metadata!D487,"weeks"))</f>
        <v>0</v>
      </c>
      <c r="Y487">
        <f>AND(IF(metadata!E487="",FALSE,TRUE),exact(metadata!E487,"urban biome"))</f>
        <v>0</v>
      </c>
      <c r="Z487">
        <f>AND(IF(metadata!F487="",FALSE,TRUE),exact(metadata!F487,"animal-associated habitat"))</f>
        <v>0</v>
      </c>
      <c r="AA487">
        <f>AND(IF(metadata!G487="",FALSE,TRUE),exact(metadata!G487,"mouse"))</f>
        <v>0</v>
      </c>
      <c r="AB487">
        <f>AND(IF(metadata!H487="",FALSE,TRUE),exact(metadata!H487,"Mus musculus"))</f>
        <v>0</v>
      </c>
      <c r="AC487">
        <f>AND(IF(metadata!I487="",FALSE,TRUE),exact(metadata!I487,"10090"))</f>
        <v>0</v>
      </c>
      <c r="AD487">
        <f>OR(AND(IF(metadata!J487="",FALSE,TRUE),OR(exact(metadata!J487,"not applicable"),exact(metadata!J487,"missing: not collected"),exact(metadata!J487,"missing: not provided"),exact(metadata!J487,"missing: restricted access"))),AND(IF(metadata!J487="",FALSE,ISNUMBER(VALUE(metadata!J487))),metadata!J487&gt;0))</f>
        <v>0</v>
      </c>
      <c r="AE487">
        <f>AND(IF(metadata!K487="",FALSE,TRUE),exact(metadata!K487,"g"))</f>
        <v>0</v>
      </c>
    </row>
    <row r="488" spans="1:31">
      <c r="A488" s="5">
        <f>IF(B488=" "," ",HYPERLINK(CONCATENATE("#metadata!",ADDRESS(INDEX($Q$2:$Q$1001,MATCH(ROWS($O$2:O488),$O$2:$O$1001,0),0),1)),INDEX($T$2:$T$1001,MATCH(ROWS($O$2:O488),$O$2:$O$1001,0),0)))</f>
        <v>0</v>
      </c>
      <c r="B488" s="4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4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4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4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4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4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4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4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4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4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OR(AND(IF(metadata!C488="",FALSE,TRUE),OR(exact(metadata!C488,"not applicable"),exact(metadata!C488,"missing: not collected"),exact(metadata!C488,"missing: not provided"),exact(metadata!C488,"missing: restricted access"))),AND(IF(metadata!C488="",FALSE,ISNUMBER(VALUE(metadata!C488))),metadata!C488&gt;0))</f>
        <v>0</v>
      </c>
      <c r="X488">
        <f>AND(IF(metadata!D488="",FALSE,TRUE),exact(metadata!D488,"weeks"))</f>
        <v>0</v>
      </c>
      <c r="Y488">
        <f>AND(IF(metadata!E488="",FALSE,TRUE),exact(metadata!E488,"urban biome"))</f>
        <v>0</v>
      </c>
      <c r="Z488">
        <f>AND(IF(metadata!F488="",FALSE,TRUE),exact(metadata!F488,"animal-associated habitat"))</f>
        <v>0</v>
      </c>
      <c r="AA488">
        <f>AND(IF(metadata!G488="",FALSE,TRUE),exact(metadata!G488,"mouse"))</f>
        <v>0</v>
      </c>
      <c r="AB488">
        <f>AND(IF(metadata!H488="",FALSE,TRUE),exact(metadata!H488,"Mus musculus"))</f>
        <v>0</v>
      </c>
      <c r="AC488">
        <f>AND(IF(metadata!I488="",FALSE,TRUE),exact(metadata!I488,"10090"))</f>
        <v>0</v>
      </c>
      <c r="AD488">
        <f>OR(AND(IF(metadata!J488="",FALSE,TRUE),OR(exact(metadata!J488,"not applicable"),exact(metadata!J488,"missing: not collected"),exact(metadata!J488,"missing: not provided"),exact(metadata!J488,"missing: restricted access"))),AND(IF(metadata!J488="",FALSE,ISNUMBER(VALUE(metadata!J488))),metadata!J488&gt;0))</f>
        <v>0</v>
      </c>
      <c r="AE488">
        <f>AND(IF(metadata!K488="",FALSE,TRUE),exact(metadata!K488,"g"))</f>
        <v>0</v>
      </c>
    </row>
    <row r="489" spans="1:31">
      <c r="A489" s="5">
        <f>IF(B489=" "," ",HYPERLINK(CONCATENATE("#metadata!",ADDRESS(INDEX($Q$2:$Q$1001,MATCH(ROWS($O$2:O489),$O$2:$O$1001,0),0),1)),INDEX($T$2:$T$1001,MATCH(ROWS($O$2:O489),$O$2:$O$1001,0),0)))</f>
        <v>0</v>
      </c>
      <c r="B489" s="4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4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4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4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4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4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4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4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4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4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OR(AND(IF(metadata!C489="",FALSE,TRUE),OR(exact(metadata!C489,"not applicable"),exact(metadata!C489,"missing: not collected"),exact(metadata!C489,"missing: not provided"),exact(metadata!C489,"missing: restricted access"))),AND(IF(metadata!C489="",FALSE,ISNUMBER(VALUE(metadata!C489))),metadata!C489&gt;0))</f>
        <v>0</v>
      </c>
      <c r="X489">
        <f>AND(IF(metadata!D489="",FALSE,TRUE),exact(metadata!D489,"weeks"))</f>
        <v>0</v>
      </c>
      <c r="Y489">
        <f>AND(IF(metadata!E489="",FALSE,TRUE),exact(metadata!E489,"urban biome"))</f>
        <v>0</v>
      </c>
      <c r="Z489">
        <f>AND(IF(metadata!F489="",FALSE,TRUE),exact(metadata!F489,"animal-associated habitat"))</f>
        <v>0</v>
      </c>
      <c r="AA489">
        <f>AND(IF(metadata!G489="",FALSE,TRUE),exact(metadata!G489,"mouse"))</f>
        <v>0</v>
      </c>
      <c r="AB489">
        <f>AND(IF(metadata!H489="",FALSE,TRUE),exact(metadata!H489,"Mus musculus"))</f>
        <v>0</v>
      </c>
      <c r="AC489">
        <f>AND(IF(metadata!I489="",FALSE,TRUE),exact(metadata!I489,"10090"))</f>
        <v>0</v>
      </c>
      <c r="AD489">
        <f>OR(AND(IF(metadata!J489="",FALSE,TRUE),OR(exact(metadata!J489,"not applicable"),exact(metadata!J489,"missing: not collected"),exact(metadata!J489,"missing: not provided"),exact(metadata!J489,"missing: restricted access"))),AND(IF(metadata!J489="",FALSE,ISNUMBER(VALUE(metadata!J489))),metadata!J489&gt;0))</f>
        <v>0</v>
      </c>
      <c r="AE489">
        <f>AND(IF(metadata!K489="",FALSE,TRUE),exact(metadata!K489,"g"))</f>
        <v>0</v>
      </c>
    </row>
    <row r="490" spans="1:31">
      <c r="A490" s="5">
        <f>IF(B490=" "," ",HYPERLINK(CONCATENATE("#metadata!",ADDRESS(INDEX($Q$2:$Q$1001,MATCH(ROWS($O$2:O490),$O$2:$O$1001,0),0),1)),INDEX($T$2:$T$1001,MATCH(ROWS($O$2:O490),$O$2:$O$1001,0),0)))</f>
        <v>0</v>
      </c>
      <c r="B490" s="4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4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4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4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4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4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4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4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4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4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OR(AND(IF(metadata!C490="",FALSE,TRUE),OR(exact(metadata!C490,"not applicable"),exact(metadata!C490,"missing: not collected"),exact(metadata!C490,"missing: not provided"),exact(metadata!C490,"missing: restricted access"))),AND(IF(metadata!C490="",FALSE,ISNUMBER(VALUE(metadata!C490))),metadata!C490&gt;0))</f>
        <v>0</v>
      </c>
      <c r="X490">
        <f>AND(IF(metadata!D490="",FALSE,TRUE),exact(metadata!D490,"weeks"))</f>
        <v>0</v>
      </c>
      <c r="Y490">
        <f>AND(IF(metadata!E490="",FALSE,TRUE),exact(metadata!E490,"urban biome"))</f>
        <v>0</v>
      </c>
      <c r="Z490">
        <f>AND(IF(metadata!F490="",FALSE,TRUE),exact(metadata!F490,"animal-associated habitat"))</f>
        <v>0</v>
      </c>
      <c r="AA490">
        <f>AND(IF(metadata!G490="",FALSE,TRUE),exact(metadata!G490,"mouse"))</f>
        <v>0</v>
      </c>
      <c r="AB490">
        <f>AND(IF(metadata!H490="",FALSE,TRUE),exact(metadata!H490,"Mus musculus"))</f>
        <v>0</v>
      </c>
      <c r="AC490">
        <f>AND(IF(metadata!I490="",FALSE,TRUE),exact(metadata!I490,"10090"))</f>
        <v>0</v>
      </c>
      <c r="AD490">
        <f>OR(AND(IF(metadata!J490="",FALSE,TRUE),OR(exact(metadata!J490,"not applicable"),exact(metadata!J490,"missing: not collected"),exact(metadata!J490,"missing: not provided"),exact(metadata!J490,"missing: restricted access"))),AND(IF(metadata!J490="",FALSE,ISNUMBER(VALUE(metadata!J490))),metadata!J490&gt;0))</f>
        <v>0</v>
      </c>
      <c r="AE490">
        <f>AND(IF(metadata!K490="",FALSE,TRUE),exact(metadata!K490,"g"))</f>
        <v>0</v>
      </c>
    </row>
    <row r="491" spans="1:31">
      <c r="A491" s="5">
        <f>IF(B491=" "," ",HYPERLINK(CONCATENATE("#metadata!",ADDRESS(INDEX($Q$2:$Q$1001,MATCH(ROWS($O$2:O491),$O$2:$O$1001,0),0),1)),INDEX($T$2:$T$1001,MATCH(ROWS($O$2:O491),$O$2:$O$1001,0),0)))</f>
        <v>0</v>
      </c>
      <c r="B491" s="4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4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4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4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4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4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4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4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4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4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OR(AND(IF(metadata!C491="",FALSE,TRUE),OR(exact(metadata!C491,"not applicable"),exact(metadata!C491,"missing: not collected"),exact(metadata!C491,"missing: not provided"),exact(metadata!C491,"missing: restricted access"))),AND(IF(metadata!C491="",FALSE,ISNUMBER(VALUE(metadata!C491))),metadata!C491&gt;0))</f>
        <v>0</v>
      </c>
      <c r="X491">
        <f>AND(IF(metadata!D491="",FALSE,TRUE),exact(metadata!D491,"weeks"))</f>
        <v>0</v>
      </c>
      <c r="Y491">
        <f>AND(IF(metadata!E491="",FALSE,TRUE),exact(metadata!E491,"urban biome"))</f>
        <v>0</v>
      </c>
      <c r="Z491">
        <f>AND(IF(metadata!F491="",FALSE,TRUE),exact(metadata!F491,"animal-associated habitat"))</f>
        <v>0</v>
      </c>
      <c r="AA491">
        <f>AND(IF(metadata!G491="",FALSE,TRUE),exact(metadata!G491,"mouse"))</f>
        <v>0</v>
      </c>
      <c r="AB491">
        <f>AND(IF(metadata!H491="",FALSE,TRUE),exact(metadata!H491,"Mus musculus"))</f>
        <v>0</v>
      </c>
      <c r="AC491">
        <f>AND(IF(metadata!I491="",FALSE,TRUE),exact(metadata!I491,"10090"))</f>
        <v>0</v>
      </c>
      <c r="AD491">
        <f>OR(AND(IF(metadata!J491="",FALSE,TRUE),OR(exact(metadata!J491,"not applicable"),exact(metadata!J491,"missing: not collected"),exact(metadata!J491,"missing: not provided"),exact(metadata!J491,"missing: restricted access"))),AND(IF(metadata!J491="",FALSE,ISNUMBER(VALUE(metadata!J491))),metadata!J491&gt;0))</f>
        <v>0</v>
      </c>
      <c r="AE491">
        <f>AND(IF(metadata!K491="",FALSE,TRUE),exact(metadata!K491,"g"))</f>
        <v>0</v>
      </c>
    </row>
    <row r="492" spans="1:31">
      <c r="A492" s="5">
        <f>IF(B492=" "," ",HYPERLINK(CONCATENATE("#metadata!",ADDRESS(INDEX($Q$2:$Q$1001,MATCH(ROWS($O$2:O492),$O$2:$O$1001,0),0),1)),INDEX($T$2:$T$1001,MATCH(ROWS($O$2:O492),$O$2:$O$1001,0),0)))</f>
        <v>0</v>
      </c>
      <c r="B492" s="4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4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4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4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4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4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4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4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4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4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OR(AND(IF(metadata!C492="",FALSE,TRUE),OR(exact(metadata!C492,"not applicable"),exact(metadata!C492,"missing: not collected"),exact(metadata!C492,"missing: not provided"),exact(metadata!C492,"missing: restricted access"))),AND(IF(metadata!C492="",FALSE,ISNUMBER(VALUE(metadata!C492))),metadata!C492&gt;0))</f>
        <v>0</v>
      </c>
      <c r="X492">
        <f>AND(IF(metadata!D492="",FALSE,TRUE),exact(metadata!D492,"weeks"))</f>
        <v>0</v>
      </c>
      <c r="Y492">
        <f>AND(IF(metadata!E492="",FALSE,TRUE),exact(metadata!E492,"urban biome"))</f>
        <v>0</v>
      </c>
      <c r="Z492">
        <f>AND(IF(metadata!F492="",FALSE,TRUE),exact(metadata!F492,"animal-associated habitat"))</f>
        <v>0</v>
      </c>
      <c r="AA492">
        <f>AND(IF(metadata!G492="",FALSE,TRUE),exact(metadata!G492,"mouse"))</f>
        <v>0</v>
      </c>
      <c r="AB492">
        <f>AND(IF(metadata!H492="",FALSE,TRUE),exact(metadata!H492,"Mus musculus"))</f>
        <v>0</v>
      </c>
      <c r="AC492">
        <f>AND(IF(metadata!I492="",FALSE,TRUE),exact(metadata!I492,"10090"))</f>
        <v>0</v>
      </c>
      <c r="AD492">
        <f>OR(AND(IF(metadata!J492="",FALSE,TRUE),OR(exact(metadata!J492,"not applicable"),exact(metadata!J492,"missing: not collected"),exact(metadata!J492,"missing: not provided"),exact(metadata!J492,"missing: restricted access"))),AND(IF(metadata!J492="",FALSE,ISNUMBER(VALUE(metadata!J492))),metadata!J492&gt;0))</f>
        <v>0</v>
      </c>
      <c r="AE492">
        <f>AND(IF(metadata!K492="",FALSE,TRUE),exact(metadata!K492,"g"))</f>
        <v>0</v>
      </c>
    </row>
    <row r="493" spans="1:31">
      <c r="A493" s="5">
        <f>IF(B493=" "," ",HYPERLINK(CONCATENATE("#metadata!",ADDRESS(INDEX($Q$2:$Q$1001,MATCH(ROWS($O$2:O493),$O$2:$O$1001,0),0),1)),INDEX($T$2:$T$1001,MATCH(ROWS($O$2:O493),$O$2:$O$1001,0),0)))</f>
        <v>0</v>
      </c>
      <c r="B493" s="4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4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4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4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4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4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4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4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4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4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OR(AND(IF(metadata!C493="",FALSE,TRUE),OR(exact(metadata!C493,"not applicable"),exact(metadata!C493,"missing: not collected"),exact(metadata!C493,"missing: not provided"),exact(metadata!C493,"missing: restricted access"))),AND(IF(metadata!C493="",FALSE,ISNUMBER(VALUE(metadata!C493))),metadata!C493&gt;0))</f>
        <v>0</v>
      </c>
      <c r="X493">
        <f>AND(IF(metadata!D493="",FALSE,TRUE),exact(metadata!D493,"weeks"))</f>
        <v>0</v>
      </c>
      <c r="Y493">
        <f>AND(IF(metadata!E493="",FALSE,TRUE),exact(metadata!E493,"urban biome"))</f>
        <v>0</v>
      </c>
      <c r="Z493">
        <f>AND(IF(metadata!F493="",FALSE,TRUE),exact(metadata!F493,"animal-associated habitat"))</f>
        <v>0</v>
      </c>
      <c r="AA493">
        <f>AND(IF(metadata!G493="",FALSE,TRUE),exact(metadata!G493,"mouse"))</f>
        <v>0</v>
      </c>
      <c r="AB493">
        <f>AND(IF(metadata!H493="",FALSE,TRUE),exact(metadata!H493,"Mus musculus"))</f>
        <v>0</v>
      </c>
      <c r="AC493">
        <f>AND(IF(metadata!I493="",FALSE,TRUE),exact(metadata!I493,"10090"))</f>
        <v>0</v>
      </c>
      <c r="AD493">
        <f>OR(AND(IF(metadata!J493="",FALSE,TRUE),OR(exact(metadata!J493,"not applicable"),exact(metadata!J493,"missing: not collected"),exact(metadata!J493,"missing: not provided"),exact(metadata!J493,"missing: restricted access"))),AND(IF(metadata!J493="",FALSE,ISNUMBER(VALUE(metadata!J493))),metadata!J493&gt;0))</f>
        <v>0</v>
      </c>
      <c r="AE493">
        <f>AND(IF(metadata!K493="",FALSE,TRUE),exact(metadata!K493,"g"))</f>
        <v>0</v>
      </c>
    </row>
    <row r="494" spans="1:31">
      <c r="A494" s="5">
        <f>IF(B494=" "," ",HYPERLINK(CONCATENATE("#metadata!",ADDRESS(INDEX($Q$2:$Q$1001,MATCH(ROWS($O$2:O494),$O$2:$O$1001,0),0),1)),INDEX($T$2:$T$1001,MATCH(ROWS($O$2:O494),$O$2:$O$1001,0),0)))</f>
        <v>0</v>
      </c>
      <c r="B494" s="4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4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4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4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4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4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4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4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4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4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OR(AND(IF(metadata!C494="",FALSE,TRUE),OR(exact(metadata!C494,"not applicable"),exact(metadata!C494,"missing: not collected"),exact(metadata!C494,"missing: not provided"),exact(metadata!C494,"missing: restricted access"))),AND(IF(metadata!C494="",FALSE,ISNUMBER(VALUE(metadata!C494))),metadata!C494&gt;0))</f>
        <v>0</v>
      </c>
      <c r="X494">
        <f>AND(IF(metadata!D494="",FALSE,TRUE),exact(metadata!D494,"weeks"))</f>
        <v>0</v>
      </c>
      <c r="Y494">
        <f>AND(IF(metadata!E494="",FALSE,TRUE),exact(metadata!E494,"urban biome"))</f>
        <v>0</v>
      </c>
      <c r="Z494">
        <f>AND(IF(metadata!F494="",FALSE,TRUE),exact(metadata!F494,"animal-associated habitat"))</f>
        <v>0</v>
      </c>
      <c r="AA494">
        <f>AND(IF(metadata!G494="",FALSE,TRUE),exact(metadata!G494,"mouse"))</f>
        <v>0</v>
      </c>
      <c r="AB494">
        <f>AND(IF(metadata!H494="",FALSE,TRUE),exact(metadata!H494,"Mus musculus"))</f>
        <v>0</v>
      </c>
      <c r="AC494">
        <f>AND(IF(metadata!I494="",FALSE,TRUE),exact(metadata!I494,"10090"))</f>
        <v>0</v>
      </c>
      <c r="AD494">
        <f>OR(AND(IF(metadata!J494="",FALSE,TRUE),OR(exact(metadata!J494,"not applicable"),exact(metadata!J494,"missing: not collected"),exact(metadata!J494,"missing: not provided"),exact(metadata!J494,"missing: restricted access"))),AND(IF(metadata!J494="",FALSE,ISNUMBER(VALUE(metadata!J494))),metadata!J494&gt;0))</f>
        <v>0</v>
      </c>
      <c r="AE494">
        <f>AND(IF(metadata!K494="",FALSE,TRUE),exact(metadata!K494,"g"))</f>
        <v>0</v>
      </c>
    </row>
    <row r="495" spans="1:31">
      <c r="A495" s="5">
        <f>IF(B495=" "," ",HYPERLINK(CONCATENATE("#metadata!",ADDRESS(INDEX($Q$2:$Q$1001,MATCH(ROWS($O$2:O495),$O$2:$O$1001,0),0),1)),INDEX($T$2:$T$1001,MATCH(ROWS($O$2:O495),$O$2:$O$1001,0),0)))</f>
        <v>0</v>
      </c>
      <c r="B495" s="4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4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4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4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4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4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4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4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4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4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OR(AND(IF(metadata!C495="",FALSE,TRUE),OR(exact(metadata!C495,"not applicable"),exact(metadata!C495,"missing: not collected"),exact(metadata!C495,"missing: not provided"),exact(metadata!C495,"missing: restricted access"))),AND(IF(metadata!C495="",FALSE,ISNUMBER(VALUE(metadata!C495))),metadata!C495&gt;0))</f>
        <v>0</v>
      </c>
      <c r="X495">
        <f>AND(IF(metadata!D495="",FALSE,TRUE),exact(metadata!D495,"weeks"))</f>
        <v>0</v>
      </c>
      <c r="Y495">
        <f>AND(IF(metadata!E495="",FALSE,TRUE),exact(metadata!E495,"urban biome"))</f>
        <v>0</v>
      </c>
      <c r="Z495">
        <f>AND(IF(metadata!F495="",FALSE,TRUE),exact(metadata!F495,"animal-associated habitat"))</f>
        <v>0</v>
      </c>
      <c r="AA495">
        <f>AND(IF(metadata!G495="",FALSE,TRUE),exact(metadata!G495,"mouse"))</f>
        <v>0</v>
      </c>
      <c r="AB495">
        <f>AND(IF(metadata!H495="",FALSE,TRUE),exact(metadata!H495,"Mus musculus"))</f>
        <v>0</v>
      </c>
      <c r="AC495">
        <f>AND(IF(metadata!I495="",FALSE,TRUE),exact(metadata!I495,"10090"))</f>
        <v>0</v>
      </c>
      <c r="AD495">
        <f>OR(AND(IF(metadata!J495="",FALSE,TRUE),OR(exact(metadata!J495,"not applicable"),exact(metadata!J495,"missing: not collected"),exact(metadata!J495,"missing: not provided"),exact(metadata!J495,"missing: restricted access"))),AND(IF(metadata!J495="",FALSE,ISNUMBER(VALUE(metadata!J495))),metadata!J495&gt;0))</f>
        <v>0</v>
      </c>
      <c r="AE495">
        <f>AND(IF(metadata!K495="",FALSE,TRUE),exact(metadata!K495,"g"))</f>
        <v>0</v>
      </c>
    </row>
    <row r="496" spans="1:31">
      <c r="A496" s="5">
        <f>IF(B496=" "," ",HYPERLINK(CONCATENATE("#metadata!",ADDRESS(INDEX($Q$2:$Q$1001,MATCH(ROWS($O$2:O496),$O$2:$O$1001,0),0),1)),INDEX($T$2:$T$1001,MATCH(ROWS($O$2:O496),$O$2:$O$1001,0),0)))</f>
        <v>0</v>
      </c>
      <c r="B496" s="4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4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4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4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4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4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4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4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4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4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OR(AND(IF(metadata!C496="",FALSE,TRUE),OR(exact(metadata!C496,"not applicable"),exact(metadata!C496,"missing: not collected"),exact(metadata!C496,"missing: not provided"),exact(metadata!C496,"missing: restricted access"))),AND(IF(metadata!C496="",FALSE,ISNUMBER(VALUE(metadata!C496))),metadata!C496&gt;0))</f>
        <v>0</v>
      </c>
      <c r="X496">
        <f>AND(IF(metadata!D496="",FALSE,TRUE),exact(metadata!D496,"weeks"))</f>
        <v>0</v>
      </c>
      <c r="Y496">
        <f>AND(IF(metadata!E496="",FALSE,TRUE),exact(metadata!E496,"urban biome"))</f>
        <v>0</v>
      </c>
      <c r="Z496">
        <f>AND(IF(metadata!F496="",FALSE,TRUE),exact(metadata!F496,"animal-associated habitat"))</f>
        <v>0</v>
      </c>
      <c r="AA496">
        <f>AND(IF(metadata!G496="",FALSE,TRUE),exact(metadata!G496,"mouse"))</f>
        <v>0</v>
      </c>
      <c r="AB496">
        <f>AND(IF(metadata!H496="",FALSE,TRUE),exact(metadata!H496,"Mus musculus"))</f>
        <v>0</v>
      </c>
      <c r="AC496">
        <f>AND(IF(metadata!I496="",FALSE,TRUE),exact(metadata!I496,"10090"))</f>
        <v>0</v>
      </c>
      <c r="AD496">
        <f>OR(AND(IF(metadata!J496="",FALSE,TRUE),OR(exact(metadata!J496,"not applicable"),exact(metadata!J496,"missing: not collected"),exact(metadata!J496,"missing: not provided"),exact(metadata!J496,"missing: restricted access"))),AND(IF(metadata!J496="",FALSE,ISNUMBER(VALUE(metadata!J496))),metadata!J496&gt;0))</f>
        <v>0</v>
      </c>
      <c r="AE496">
        <f>AND(IF(metadata!K496="",FALSE,TRUE),exact(metadata!K496,"g"))</f>
        <v>0</v>
      </c>
    </row>
    <row r="497" spans="1:31">
      <c r="A497" s="5">
        <f>IF(B497=" "," ",HYPERLINK(CONCATENATE("#metadata!",ADDRESS(INDEX($Q$2:$Q$1001,MATCH(ROWS($O$2:O497),$O$2:$O$1001,0),0),1)),INDEX($T$2:$T$1001,MATCH(ROWS($O$2:O497),$O$2:$O$1001,0),0)))</f>
        <v>0</v>
      </c>
      <c r="B497" s="4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4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4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4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4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4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4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4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4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4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OR(AND(IF(metadata!C497="",FALSE,TRUE),OR(exact(metadata!C497,"not applicable"),exact(metadata!C497,"missing: not collected"),exact(metadata!C497,"missing: not provided"),exact(metadata!C497,"missing: restricted access"))),AND(IF(metadata!C497="",FALSE,ISNUMBER(VALUE(metadata!C497))),metadata!C497&gt;0))</f>
        <v>0</v>
      </c>
      <c r="X497">
        <f>AND(IF(metadata!D497="",FALSE,TRUE),exact(metadata!D497,"weeks"))</f>
        <v>0</v>
      </c>
      <c r="Y497">
        <f>AND(IF(metadata!E497="",FALSE,TRUE),exact(metadata!E497,"urban biome"))</f>
        <v>0</v>
      </c>
      <c r="Z497">
        <f>AND(IF(metadata!F497="",FALSE,TRUE),exact(metadata!F497,"animal-associated habitat"))</f>
        <v>0</v>
      </c>
      <c r="AA497">
        <f>AND(IF(metadata!G497="",FALSE,TRUE),exact(metadata!G497,"mouse"))</f>
        <v>0</v>
      </c>
      <c r="AB497">
        <f>AND(IF(metadata!H497="",FALSE,TRUE),exact(metadata!H497,"Mus musculus"))</f>
        <v>0</v>
      </c>
      <c r="AC497">
        <f>AND(IF(metadata!I497="",FALSE,TRUE),exact(metadata!I497,"10090"))</f>
        <v>0</v>
      </c>
      <c r="AD497">
        <f>OR(AND(IF(metadata!J497="",FALSE,TRUE),OR(exact(metadata!J497,"not applicable"),exact(metadata!J497,"missing: not collected"),exact(metadata!J497,"missing: not provided"),exact(metadata!J497,"missing: restricted access"))),AND(IF(metadata!J497="",FALSE,ISNUMBER(VALUE(metadata!J497))),metadata!J497&gt;0))</f>
        <v>0</v>
      </c>
      <c r="AE497">
        <f>AND(IF(metadata!K497="",FALSE,TRUE),exact(metadata!K497,"g"))</f>
        <v>0</v>
      </c>
    </row>
    <row r="498" spans="1:31">
      <c r="A498" s="5">
        <f>IF(B498=" "," ",HYPERLINK(CONCATENATE("#metadata!",ADDRESS(INDEX($Q$2:$Q$1001,MATCH(ROWS($O$2:O498),$O$2:$O$1001,0),0),1)),INDEX($T$2:$T$1001,MATCH(ROWS($O$2:O498),$O$2:$O$1001,0),0)))</f>
        <v>0</v>
      </c>
      <c r="B498" s="4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4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4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4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4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4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4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4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4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4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OR(AND(IF(metadata!C498="",FALSE,TRUE),OR(exact(metadata!C498,"not applicable"),exact(metadata!C498,"missing: not collected"),exact(metadata!C498,"missing: not provided"),exact(metadata!C498,"missing: restricted access"))),AND(IF(metadata!C498="",FALSE,ISNUMBER(VALUE(metadata!C498))),metadata!C498&gt;0))</f>
        <v>0</v>
      </c>
      <c r="X498">
        <f>AND(IF(metadata!D498="",FALSE,TRUE),exact(metadata!D498,"weeks"))</f>
        <v>0</v>
      </c>
      <c r="Y498">
        <f>AND(IF(metadata!E498="",FALSE,TRUE),exact(metadata!E498,"urban biome"))</f>
        <v>0</v>
      </c>
      <c r="Z498">
        <f>AND(IF(metadata!F498="",FALSE,TRUE),exact(metadata!F498,"animal-associated habitat"))</f>
        <v>0</v>
      </c>
      <c r="AA498">
        <f>AND(IF(metadata!G498="",FALSE,TRUE),exact(metadata!G498,"mouse"))</f>
        <v>0</v>
      </c>
      <c r="AB498">
        <f>AND(IF(metadata!H498="",FALSE,TRUE),exact(metadata!H498,"Mus musculus"))</f>
        <v>0</v>
      </c>
      <c r="AC498">
        <f>AND(IF(metadata!I498="",FALSE,TRUE),exact(metadata!I498,"10090"))</f>
        <v>0</v>
      </c>
      <c r="AD498">
        <f>OR(AND(IF(metadata!J498="",FALSE,TRUE),OR(exact(metadata!J498,"not applicable"),exact(metadata!J498,"missing: not collected"),exact(metadata!J498,"missing: not provided"),exact(metadata!J498,"missing: restricted access"))),AND(IF(metadata!J498="",FALSE,ISNUMBER(VALUE(metadata!J498))),metadata!J498&gt;0))</f>
        <v>0</v>
      </c>
      <c r="AE498">
        <f>AND(IF(metadata!K498="",FALSE,TRUE),exact(metadata!K498,"g"))</f>
        <v>0</v>
      </c>
    </row>
    <row r="499" spans="1:31">
      <c r="A499" s="5">
        <f>IF(B499=" "," ",HYPERLINK(CONCATENATE("#metadata!",ADDRESS(INDEX($Q$2:$Q$1001,MATCH(ROWS($O$2:O499),$O$2:$O$1001,0),0),1)),INDEX($T$2:$T$1001,MATCH(ROWS($O$2:O499),$O$2:$O$1001,0),0)))</f>
        <v>0</v>
      </c>
      <c r="B499" s="4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4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4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4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4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4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4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4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4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4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OR(AND(IF(metadata!C499="",FALSE,TRUE),OR(exact(metadata!C499,"not applicable"),exact(metadata!C499,"missing: not collected"),exact(metadata!C499,"missing: not provided"),exact(metadata!C499,"missing: restricted access"))),AND(IF(metadata!C499="",FALSE,ISNUMBER(VALUE(metadata!C499))),metadata!C499&gt;0))</f>
        <v>0</v>
      </c>
      <c r="X499">
        <f>AND(IF(metadata!D499="",FALSE,TRUE),exact(metadata!D499,"weeks"))</f>
        <v>0</v>
      </c>
      <c r="Y499">
        <f>AND(IF(metadata!E499="",FALSE,TRUE),exact(metadata!E499,"urban biome"))</f>
        <v>0</v>
      </c>
      <c r="Z499">
        <f>AND(IF(metadata!F499="",FALSE,TRUE),exact(metadata!F499,"animal-associated habitat"))</f>
        <v>0</v>
      </c>
      <c r="AA499">
        <f>AND(IF(metadata!G499="",FALSE,TRUE),exact(metadata!G499,"mouse"))</f>
        <v>0</v>
      </c>
      <c r="AB499">
        <f>AND(IF(metadata!H499="",FALSE,TRUE),exact(metadata!H499,"Mus musculus"))</f>
        <v>0</v>
      </c>
      <c r="AC499">
        <f>AND(IF(metadata!I499="",FALSE,TRUE),exact(metadata!I499,"10090"))</f>
        <v>0</v>
      </c>
      <c r="AD499">
        <f>OR(AND(IF(metadata!J499="",FALSE,TRUE),OR(exact(metadata!J499,"not applicable"),exact(metadata!J499,"missing: not collected"),exact(metadata!J499,"missing: not provided"),exact(metadata!J499,"missing: restricted access"))),AND(IF(metadata!J499="",FALSE,ISNUMBER(VALUE(metadata!J499))),metadata!J499&gt;0))</f>
        <v>0</v>
      </c>
      <c r="AE499">
        <f>AND(IF(metadata!K499="",FALSE,TRUE),exact(metadata!K499,"g"))</f>
        <v>0</v>
      </c>
    </row>
    <row r="500" spans="1:31">
      <c r="A500" s="5">
        <f>IF(B500=" "," ",HYPERLINK(CONCATENATE("#metadata!",ADDRESS(INDEX($Q$2:$Q$1001,MATCH(ROWS($O$2:O500),$O$2:$O$1001,0),0),1)),INDEX($T$2:$T$1001,MATCH(ROWS($O$2:O500),$O$2:$O$1001,0),0)))</f>
        <v>0</v>
      </c>
      <c r="B500" s="4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4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4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4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4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4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4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4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4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4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OR(AND(IF(metadata!C500="",FALSE,TRUE),OR(exact(metadata!C500,"not applicable"),exact(metadata!C500,"missing: not collected"),exact(metadata!C500,"missing: not provided"),exact(metadata!C500,"missing: restricted access"))),AND(IF(metadata!C500="",FALSE,ISNUMBER(VALUE(metadata!C500))),metadata!C500&gt;0))</f>
        <v>0</v>
      </c>
      <c r="X500">
        <f>AND(IF(metadata!D500="",FALSE,TRUE),exact(metadata!D500,"weeks"))</f>
        <v>0</v>
      </c>
      <c r="Y500">
        <f>AND(IF(metadata!E500="",FALSE,TRUE),exact(metadata!E500,"urban biome"))</f>
        <v>0</v>
      </c>
      <c r="Z500">
        <f>AND(IF(metadata!F500="",FALSE,TRUE),exact(metadata!F500,"animal-associated habitat"))</f>
        <v>0</v>
      </c>
      <c r="AA500">
        <f>AND(IF(metadata!G500="",FALSE,TRUE),exact(metadata!G500,"mouse"))</f>
        <v>0</v>
      </c>
      <c r="AB500">
        <f>AND(IF(metadata!H500="",FALSE,TRUE),exact(metadata!H500,"Mus musculus"))</f>
        <v>0</v>
      </c>
      <c r="AC500">
        <f>AND(IF(metadata!I500="",FALSE,TRUE),exact(metadata!I500,"10090"))</f>
        <v>0</v>
      </c>
      <c r="AD500">
        <f>OR(AND(IF(metadata!J500="",FALSE,TRUE),OR(exact(metadata!J500,"not applicable"),exact(metadata!J500,"missing: not collected"),exact(metadata!J500,"missing: not provided"),exact(metadata!J500,"missing: restricted access"))),AND(IF(metadata!J500="",FALSE,ISNUMBER(VALUE(metadata!J500))),metadata!J500&gt;0))</f>
        <v>0</v>
      </c>
      <c r="AE500">
        <f>AND(IF(metadata!K500="",FALSE,TRUE),exact(metadata!K500,"g"))</f>
        <v>0</v>
      </c>
    </row>
    <row r="501" spans="1:31">
      <c r="A501" s="5">
        <f>IF(B501=" "," ",HYPERLINK(CONCATENATE("#metadata!",ADDRESS(INDEX($Q$2:$Q$1001,MATCH(ROWS($O$2:O501),$O$2:$O$1001,0),0),1)),INDEX($T$2:$T$1001,MATCH(ROWS($O$2:O501),$O$2:$O$1001,0),0)))</f>
        <v>0</v>
      </c>
      <c r="B501" s="4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4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4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4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4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4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4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4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4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4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OR(AND(IF(metadata!C501="",FALSE,TRUE),OR(exact(metadata!C501,"not applicable"),exact(metadata!C501,"missing: not collected"),exact(metadata!C501,"missing: not provided"),exact(metadata!C501,"missing: restricted access"))),AND(IF(metadata!C501="",FALSE,ISNUMBER(VALUE(metadata!C501))),metadata!C501&gt;0))</f>
        <v>0</v>
      </c>
      <c r="X501">
        <f>AND(IF(metadata!D501="",FALSE,TRUE),exact(metadata!D501,"weeks"))</f>
        <v>0</v>
      </c>
      <c r="Y501">
        <f>AND(IF(metadata!E501="",FALSE,TRUE),exact(metadata!E501,"urban biome"))</f>
        <v>0</v>
      </c>
      <c r="Z501">
        <f>AND(IF(metadata!F501="",FALSE,TRUE),exact(metadata!F501,"animal-associated habitat"))</f>
        <v>0</v>
      </c>
      <c r="AA501">
        <f>AND(IF(metadata!G501="",FALSE,TRUE),exact(metadata!G501,"mouse"))</f>
        <v>0</v>
      </c>
      <c r="AB501">
        <f>AND(IF(metadata!H501="",FALSE,TRUE),exact(metadata!H501,"Mus musculus"))</f>
        <v>0</v>
      </c>
      <c r="AC501">
        <f>AND(IF(metadata!I501="",FALSE,TRUE),exact(metadata!I501,"10090"))</f>
        <v>0</v>
      </c>
      <c r="AD501">
        <f>OR(AND(IF(metadata!J501="",FALSE,TRUE),OR(exact(metadata!J501,"not applicable"),exact(metadata!J501,"missing: not collected"),exact(metadata!J501,"missing: not provided"),exact(metadata!J501,"missing: restricted access"))),AND(IF(metadata!J501="",FALSE,ISNUMBER(VALUE(metadata!J501))),metadata!J501&gt;0))</f>
        <v>0</v>
      </c>
      <c r="AE501">
        <f>AND(IF(metadata!K501="",FALSE,TRUE),exact(metadata!K501,"g"))</f>
        <v>0</v>
      </c>
    </row>
    <row r="502" spans="1:31">
      <c r="A502" s="5">
        <f>IF(B502=" "," ",HYPERLINK(CONCATENATE("#metadata!",ADDRESS(INDEX($Q$2:$Q$1001,MATCH(ROWS($O$2:O502),$O$2:$O$1001,0),0),1)),INDEX($T$2:$T$1001,MATCH(ROWS($O$2:O502),$O$2:$O$1001,0),0)))</f>
        <v>0</v>
      </c>
      <c r="B502" s="4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4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4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4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4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4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4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4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4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4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OR(AND(IF(metadata!C502="",FALSE,TRUE),OR(exact(metadata!C502,"not applicable"),exact(metadata!C502,"missing: not collected"),exact(metadata!C502,"missing: not provided"),exact(metadata!C502,"missing: restricted access"))),AND(IF(metadata!C502="",FALSE,ISNUMBER(VALUE(metadata!C502))),metadata!C502&gt;0))</f>
        <v>0</v>
      </c>
      <c r="X502">
        <f>AND(IF(metadata!D502="",FALSE,TRUE),exact(metadata!D502,"weeks"))</f>
        <v>0</v>
      </c>
      <c r="Y502">
        <f>AND(IF(metadata!E502="",FALSE,TRUE),exact(metadata!E502,"urban biome"))</f>
        <v>0</v>
      </c>
      <c r="Z502">
        <f>AND(IF(metadata!F502="",FALSE,TRUE),exact(metadata!F502,"animal-associated habitat"))</f>
        <v>0</v>
      </c>
      <c r="AA502">
        <f>AND(IF(metadata!G502="",FALSE,TRUE),exact(metadata!G502,"mouse"))</f>
        <v>0</v>
      </c>
      <c r="AB502">
        <f>AND(IF(metadata!H502="",FALSE,TRUE),exact(metadata!H502,"Mus musculus"))</f>
        <v>0</v>
      </c>
      <c r="AC502">
        <f>AND(IF(metadata!I502="",FALSE,TRUE),exact(metadata!I502,"10090"))</f>
        <v>0</v>
      </c>
      <c r="AD502">
        <f>OR(AND(IF(metadata!J502="",FALSE,TRUE),OR(exact(metadata!J502,"not applicable"),exact(metadata!J502,"missing: not collected"),exact(metadata!J502,"missing: not provided"),exact(metadata!J502,"missing: restricted access"))),AND(IF(metadata!J502="",FALSE,ISNUMBER(VALUE(metadata!J502))),metadata!J502&gt;0))</f>
        <v>0</v>
      </c>
      <c r="AE502">
        <f>AND(IF(metadata!K502="",FALSE,TRUE),exact(metadata!K502,"g"))</f>
        <v>0</v>
      </c>
    </row>
    <row r="503" spans="1:31">
      <c r="A503" s="5">
        <f>IF(B503=" "," ",HYPERLINK(CONCATENATE("#metadata!",ADDRESS(INDEX($Q$2:$Q$1001,MATCH(ROWS($O$2:O503),$O$2:$O$1001,0),0),1)),INDEX($T$2:$T$1001,MATCH(ROWS($O$2:O503),$O$2:$O$1001,0),0)))</f>
        <v>0</v>
      </c>
      <c r="B503" s="4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4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4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4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4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4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4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4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4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4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OR(AND(IF(metadata!C503="",FALSE,TRUE),OR(exact(metadata!C503,"not applicable"),exact(metadata!C503,"missing: not collected"),exact(metadata!C503,"missing: not provided"),exact(metadata!C503,"missing: restricted access"))),AND(IF(metadata!C503="",FALSE,ISNUMBER(VALUE(metadata!C503))),metadata!C503&gt;0))</f>
        <v>0</v>
      </c>
      <c r="X503">
        <f>AND(IF(metadata!D503="",FALSE,TRUE),exact(metadata!D503,"weeks"))</f>
        <v>0</v>
      </c>
      <c r="Y503">
        <f>AND(IF(metadata!E503="",FALSE,TRUE),exact(metadata!E503,"urban biome"))</f>
        <v>0</v>
      </c>
      <c r="Z503">
        <f>AND(IF(metadata!F503="",FALSE,TRUE),exact(metadata!F503,"animal-associated habitat"))</f>
        <v>0</v>
      </c>
      <c r="AA503">
        <f>AND(IF(metadata!G503="",FALSE,TRUE),exact(metadata!G503,"mouse"))</f>
        <v>0</v>
      </c>
      <c r="AB503">
        <f>AND(IF(metadata!H503="",FALSE,TRUE),exact(metadata!H503,"Mus musculus"))</f>
        <v>0</v>
      </c>
      <c r="AC503">
        <f>AND(IF(metadata!I503="",FALSE,TRUE),exact(metadata!I503,"10090"))</f>
        <v>0</v>
      </c>
      <c r="AD503">
        <f>OR(AND(IF(metadata!J503="",FALSE,TRUE),OR(exact(metadata!J503,"not applicable"),exact(metadata!J503,"missing: not collected"),exact(metadata!J503,"missing: not provided"),exact(metadata!J503,"missing: restricted access"))),AND(IF(metadata!J503="",FALSE,ISNUMBER(VALUE(metadata!J503))),metadata!J503&gt;0))</f>
        <v>0</v>
      </c>
      <c r="AE503">
        <f>AND(IF(metadata!K503="",FALSE,TRUE),exact(metadata!K503,"g"))</f>
        <v>0</v>
      </c>
    </row>
    <row r="504" spans="1:31">
      <c r="A504" s="5">
        <f>IF(B504=" "," ",HYPERLINK(CONCATENATE("#metadata!",ADDRESS(INDEX($Q$2:$Q$1001,MATCH(ROWS($O$2:O504),$O$2:$O$1001,0),0),1)),INDEX($T$2:$T$1001,MATCH(ROWS($O$2:O504),$O$2:$O$1001,0),0)))</f>
        <v>0</v>
      </c>
      <c r="B504" s="4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4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4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4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4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4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4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4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4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4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OR(AND(IF(metadata!C504="",FALSE,TRUE),OR(exact(metadata!C504,"not applicable"),exact(metadata!C504,"missing: not collected"),exact(metadata!C504,"missing: not provided"),exact(metadata!C504,"missing: restricted access"))),AND(IF(metadata!C504="",FALSE,ISNUMBER(VALUE(metadata!C504))),metadata!C504&gt;0))</f>
        <v>0</v>
      </c>
      <c r="X504">
        <f>AND(IF(metadata!D504="",FALSE,TRUE),exact(metadata!D504,"weeks"))</f>
        <v>0</v>
      </c>
      <c r="Y504">
        <f>AND(IF(metadata!E504="",FALSE,TRUE),exact(metadata!E504,"urban biome"))</f>
        <v>0</v>
      </c>
      <c r="Z504">
        <f>AND(IF(metadata!F504="",FALSE,TRUE),exact(metadata!F504,"animal-associated habitat"))</f>
        <v>0</v>
      </c>
      <c r="AA504">
        <f>AND(IF(metadata!G504="",FALSE,TRUE),exact(metadata!G504,"mouse"))</f>
        <v>0</v>
      </c>
      <c r="AB504">
        <f>AND(IF(metadata!H504="",FALSE,TRUE),exact(metadata!H504,"Mus musculus"))</f>
        <v>0</v>
      </c>
      <c r="AC504">
        <f>AND(IF(metadata!I504="",FALSE,TRUE),exact(metadata!I504,"10090"))</f>
        <v>0</v>
      </c>
      <c r="AD504">
        <f>OR(AND(IF(metadata!J504="",FALSE,TRUE),OR(exact(metadata!J504,"not applicable"),exact(metadata!J504,"missing: not collected"),exact(metadata!J504,"missing: not provided"),exact(metadata!J504,"missing: restricted access"))),AND(IF(metadata!J504="",FALSE,ISNUMBER(VALUE(metadata!J504))),metadata!J504&gt;0))</f>
        <v>0</v>
      </c>
      <c r="AE504">
        <f>AND(IF(metadata!K504="",FALSE,TRUE),exact(metadata!K504,"g"))</f>
        <v>0</v>
      </c>
    </row>
    <row r="505" spans="1:31">
      <c r="A505" s="5">
        <f>IF(B505=" "," ",HYPERLINK(CONCATENATE("#metadata!",ADDRESS(INDEX($Q$2:$Q$1001,MATCH(ROWS($O$2:O505),$O$2:$O$1001,0),0),1)),INDEX($T$2:$T$1001,MATCH(ROWS($O$2:O505),$O$2:$O$1001,0),0)))</f>
        <v>0</v>
      </c>
      <c r="B505" s="4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4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4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4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4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4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4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4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4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4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OR(AND(IF(metadata!C505="",FALSE,TRUE),OR(exact(metadata!C505,"not applicable"),exact(metadata!C505,"missing: not collected"),exact(metadata!C505,"missing: not provided"),exact(metadata!C505,"missing: restricted access"))),AND(IF(metadata!C505="",FALSE,ISNUMBER(VALUE(metadata!C505))),metadata!C505&gt;0))</f>
        <v>0</v>
      </c>
      <c r="X505">
        <f>AND(IF(metadata!D505="",FALSE,TRUE),exact(metadata!D505,"weeks"))</f>
        <v>0</v>
      </c>
      <c r="Y505">
        <f>AND(IF(metadata!E505="",FALSE,TRUE),exact(metadata!E505,"urban biome"))</f>
        <v>0</v>
      </c>
      <c r="Z505">
        <f>AND(IF(metadata!F505="",FALSE,TRUE),exact(metadata!F505,"animal-associated habitat"))</f>
        <v>0</v>
      </c>
      <c r="AA505">
        <f>AND(IF(metadata!G505="",FALSE,TRUE),exact(metadata!G505,"mouse"))</f>
        <v>0</v>
      </c>
      <c r="AB505">
        <f>AND(IF(metadata!H505="",FALSE,TRUE),exact(metadata!H505,"Mus musculus"))</f>
        <v>0</v>
      </c>
      <c r="AC505">
        <f>AND(IF(metadata!I505="",FALSE,TRUE),exact(metadata!I505,"10090"))</f>
        <v>0</v>
      </c>
      <c r="AD505">
        <f>OR(AND(IF(metadata!J505="",FALSE,TRUE),OR(exact(metadata!J505,"not applicable"),exact(metadata!J505,"missing: not collected"),exact(metadata!J505,"missing: not provided"),exact(metadata!J505,"missing: restricted access"))),AND(IF(metadata!J505="",FALSE,ISNUMBER(VALUE(metadata!J505))),metadata!J505&gt;0))</f>
        <v>0</v>
      </c>
      <c r="AE505">
        <f>AND(IF(metadata!K505="",FALSE,TRUE),exact(metadata!K505,"g"))</f>
        <v>0</v>
      </c>
    </row>
    <row r="506" spans="1:31">
      <c r="A506" s="5">
        <f>IF(B506=" "," ",HYPERLINK(CONCATENATE("#metadata!",ADDRESS(INDEX($Q$2:$Q$1001,MATCH(ROWS($O$2:O506),$O$2:$O$1001,0),0),1)),INDEX($T$2:$T$1001,MATCH(ROWS($O$2:O506),$O$2:$O$1001,0),0)))</f>
        <v>0</v>
      </c>
      <c r="B506" s="4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4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4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4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4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4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4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4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4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4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OR(AND(IF(metadata!C506="",FALSE,TRUE),OR(exact(metadata!C506,"not applicable"),exact(metadata!C506,"missing: not collected"),exact(metadata!C506,"missing: not provided"),exact(metadata!C506,"missing: restricted access"))),AND(IF(metadata!C506="",FALSE,ISNUMBER(VALUE(metadata!C506))),metadata!C506&gt;0))</f>
        <v>0</v>
      </c>
      <c r="X506">
        <f>AND(IF(metadata!D506="",FALSE,TRUE),exact(metadata!D506,"weeks"))</f>
        <v>0</v>
      </c>
      <c r="Y506">
        <f>AND(IF(metadata!E506="",FALSE,TRUE),exact(metadata!E506,"urban biome"))</f>
        <v>0</v>
      </c>
      <c r="Z506">
        <f>AND(IF(metadata!F506="",FALSE,TRUE),exact(metadata!F506,"animal-associated habitat"))</f>
        <v>0</v>
      </c>
      <c r="AA506">
        <f>AND(IF(metadata!G506="",FALSE,TRUE),exact(metadata!G506,"mouse"))</f>
        <v>0</v>
      </c>
      <c r="AB506">
        <f>AND(IF(metadata!H506="",FALSE,TRUE),exact(metadata!H506,"Mus musculus"))</f>
        <v>0</v>
      </c>
      <c r="AC506">
        <f>AND(IF(metadata!I506="",FALSE,TRUE),exact(metadata!I506,"10090"))</f>
        <v>0</v>
      </c>
      <c r="AD506">
        <f>OR(AND(IF(metadata!J506="",FALSE,TRUE),OR(exact(metadata!J506,"not applicable"),exact(metadata!J506,"missing: not collected"),exact(metadata!J506,"missing: not provided"),exact(metadata!J506,"missing: restricted access"))),AND(IF(metadata!J506="",FALSE,ISNUMBER(VALUE(metadata!J506))),metadata!J506&gt;0))</f>
        <v>0</v>
      </c>
      <c r="AE506">
        <f>AND(IF(metadata!K506="",FALSE,TRUE),exact(metadata!K506,"g"))</f>
        <v>0</v>
      </c>
    </row>
    <row r="507" spans="1:31">
      <c r="A507" s="5">
        <f>IF(B507=" "," ",HYPERLINK(CONCATENATE("#metadata!",ADDRESS(INDEX($Q$2:$Q$1001,MATCH(ROWS($O$2:O507),$O$2:$O$1001,0),0),1)),INDEX($T$2:$T$1001,MATCH(ROWS($O$2:O507),$O$2:$O$1001,0),0)))</f>
        <v>0</v>
      </c>
      <c r="B507" s="4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4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4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4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4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4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4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4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4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4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OR(AND(IF(metadata!C507="",FALSE,TRUE),OR(exact(metadata!C507,"not applicable"),exact(metadata!C507,"missing: not collected"),exact(metadata!C507,"missing: not provided"),exact(metadata!C507,"missing: restricted access"))),AND(IF(metadata!C507="",FALSE,ISNUMBER(VALUE(metadata!C507))),metadata!C507&gt;0))</f>
        <v>0</v>
      </c>
      <c r="X507">
        <f>AND(IF(metadata!D507="",FALSE,TRUE),exact(metadata!D507,"weeks"))</f>
        <v>0</v>
      </c>
      <c r="Y507">
        <f>AND(IF(metadata!E507="",FALSE,TRUE),exact(metadata!E507,"urban biome"))</f>
        <v>0</v>
      </c>
      <c r="Z507">
        <f>AND(IF(metadata!F507="",FALSE,TRUE),exact(metadata!F507,"animal-associated habitat"))</f>
        <v>0</v>
      </c>
      <c r="AA507">
        <f>AND(IF(metadata!G507="",FALSE,TRUE),exact(metadata!G507,"mouse"))</f>
        <v>0</v>
      </c>
      <c r="AB507">
        <f>AND(IF(metadata!H507="",FALSE,TRUE),exact(metadata!H507,"Mus musculus"))</f>
        <v>0</v>
      </c>
      <c r="AC507">
        <f>AND(IF(metadata!I507="",FALSE,TRUE),exact(metadata!I507,"10090"))</f>
        <v>0</v>
      </c>
      <c r="AD507">
        <f>OR(AND(IF(metadata!J507="",FALSE,TRUE),OR(exact(metadata!J507,"not applicable"),exact(metadata!J507,"missing: not collected"),exact(metadata!J507,"missing: not provided"),exact(metadata!J507,"missing: restricted access"))),AND(IF(metadata!J507="",FALSE,ISNUMBER(VALUE(metadata!J507))),metadata!J507&gt;0))</f>
        <v>0</v>
      </c>
      <c r="AE507">
        <f>AND(IF(metadata!K507="",FALSE,TRUE),exact(metadata!K507,"g"))</f>
        <v>0</v>
      </c>
    </row>
    <row r="508" spans="1:31">
      <c r="A508" s="5">
        <f>IF(B508=" "," ",HYPERLINK(CONCATENATE("#metadata!",ADDRESS(INDEX($Q$2:$Q$1001,MATCH(ROWS($O$2:O508),$O$2:$O$1001,0),0),1)),INDEX($T$2:$T$1001,MATCH(ROWS($O$2:O508),$O$2:$O$1001,0),0)))</f>
        <v>0</v>
      </c>
      <c r="B508" s="4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4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4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4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4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4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4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4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4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4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OR(AND(IF(metadata!C508="",FALSE,TRUE),OR(exact(metadata!C508,"not applicable"),exact(metadata!C508,"missing: not collected"),exact(metadata!C508,"missing: not provided"),exact(metadata!C508,"missing: restricted access"))),AND(IF(metadata!C508="",FALSE,ISNUMBER(VALUE(metadata!C508))),metadata!C508&gt;0))</f>
        <v>0</v>
      </c>
      <c r="X508">
        <f>AND(IF(metadata!D508="",FALSE,TRUE),exact(metadata!D508,"weeks"))</f>
        <v>0</v>
      </c>
      <c r="Y508">
        <f>AND(IF(metadata!E508="",FALSE,TRUE),exact(metadata!E508,"urban biome"))</f>
        <v>0</v>
      </c>
      <c r="Z508">
        <f>AND(IF(metadata!F508="",FALSE,TRUE),exact(metadata!F508,"animal-associated habitat"))</f>
        <v>0</v>
      </c>
      <c r="AA508">
        <f>AND(IF(metadata!G508="",FALSE,TRUE),exact(metadata!G508,"mouse"))</f>
        <v>0</v>
      </c>
      <c r="AB508">
        <f>AND(IF(metadata!H508="",FALSE,TRUE),exact(metadata!H508,"Mus musculus"))</f>
        <v>0</v>
      </c>
      <c r="AC508">
        <f>AND(IF(metadata!I508="",FALSE,TRUE),exact(metadata!I508,"10090"))</f>
        <v>0</v>
      </c>
      <c r="AD508">
        <f>OR(AND(IF(metadata!J508="",FALSE,TRUE),OR(exact(metadata!J508,"not applicable"),exact(metadata!J508,"missing: not collected"),exact(metadata!J508,"missing: not provided"),exact(metadata!J508,"missing: restricted access"))),AND(IF(metadata!J508="",FALSE,ISNUMBER(VALUE(metadata!J508))),metadata!J508&gt;0))</f>
        <v>0</v>
      </c>
      <c r="AE508">
        <f>AND(IF(metadata!K508="",FALSE,TRUE),exact(metadata!K508,"g"))</f>
        <v>0</v>
      </c>
    </row>
    <row r="509" spans="1:31">
      <c r="A509" s="5">
        <f>IF(B509=" "," ",HYPERLINK(CONCATENATE("#metadata!",ADDRESS(INDEX($Q$2:$Q$1001,MATCH(ROWS($O$2:O509),$O$2:$O$1001,0),0),1)),INDEX($T$2:$T$1001,MATCH(ROWS($O$2:O509),$O$2:$O$1001,0),0)))</f>
        <v>0</v>
      </c>
      <c r="B509" s="4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4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4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4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4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4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4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4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4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4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OR(AND(IF(metadata!C509="",FALSE,TRUE),OR(exact(metadata!C509,"not applicable"),exact(metadata!C509,"missing: not collected"),exact(metadata!C509,"missing: not provided"),exact(metadata!C509,"missing: restricted access"))),AND(IF(metadata!C509="",FALSE,ISNUMBER(VALUE(metadata!C509))),metadata!C509&gt;0))</f>
        <v>0</v>
      </c>
      <c r="X509">
        <f>AND(IF(metadata!D509="",FALSE,TRUE),exact(metadata!D509,"weeks"))</f>
        <v>0</v>
      </c>
      <c r="Y509">
        <f>AND(IF(metadata!E509="",FALSE,TRUE),exact(metadata!E509,"urban biome"))</f>
        <v>0</v>
      </c>
      <c r="Z509">
        <f>AND(IF(metadata!F509="",FALSE,TRUE),exact(metadata!F509,"animal-associated habitat"))</f>
        <v>0</v>
      </c>
      <c r="AA509">
        <f>AND(IF(metadata!G509="",FALSE,TRUE),exact(metadata!G509,"mouse"))</f>
        <v>0</v>
      </c>
      <c r="AB509">
        <f>AND(IF(metadata!H509="",FALSE,TRUE),exact(metadata!H509,"Mus musculus"))</f>
        <v>0</v>
      </c>
      <c r="AC509">
        <f>AND(IF(metadata!I509="",FALSE,TRUE),exact(metadata!I509,"10090"))</f>
        <v>0</v>
      </c>
      <c r="AD509">
        <f>OR(AND(IF(metadata!J509="",FALSE,TRUE),OR(exact(metadata!J509,"not applicable"),exact(metadata!J509,"missing: not collected"),exact(metadata!J509,"missing: not provided"),exact(metadata!J509,"missing: restricted access"))),AND(IF(metadata!J509="",FALSE,ISNUMBER(VALUE(metadata!J509))),metadata!J509&gt;0))</f>
        <v>0</v>
      </c>
      <c r="AE509">
        <f>AND(IF(metadata!K509="",FALSE,TRUE),exact(metadata!K509,"g"))</f>
        <v>0</v>
      </c>
    </row>
    <row r="510" spans="1:31">
      <c r="A510" s="5">
        <f>IF(B510=" "," ",HYPERLINK(CONCATENATE("#metadata!",ADDRESS(INDEX($Q$2:$Q$1001,MATCH(ROWS($O$2:O510),$O$2:$O$1001,0),0),1)),INDEX($T$2:$T$1001,MATCH(ROWS($O$2:O510),$O$2:$O$1001,0),0)))</f>
        <v>0</v>
      </c>
      <c r="B510" s="4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4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4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4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4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4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4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4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4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4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OR(AND(IF(metadata!C510="",FALSE,TRUE),OR(exact(metadata!C510,"not applicable"),exact(metadata!C510,"missing: not collected"),exact(metadata!C510,"missing: not provided"),exact(metadata!C510,"missing: restricted access"))),AND(IF(metadata!C510="",FALSE,ISNUMBER(VALUE(metadata!C510))),metadata!C510&gt;0))</f>
        <v>0</v>
      </c>
      <c r="X510">
        <f>AND(IF(metadata!D510="",FALSE,TRUE),exact(metadata!D510,"weeks"))</f>
        <v>0</v>
      </c>
      <c r="Y510">
        <f>AND(IF(metadata!E510="",FALSE,TRUE),exact(metadata!E510,"urban biome"))</f>
        <v>0</v>
      </c>
      <c r="Z510">
        <f>AND(IF(metadata!F510="",FALSE,TRUE),exact(metadata!F510,"animal-associated habitat"))</f>
        <v>0</v>
      </c>
      <c r="AA510">
        <f>AND(IF(metadata!G510="",FALSE,TRUE),exact(metadata!G510,"mouse"))</f>
        <v>0</v>
      </c>
      <c r="AB510">
        <f>AND(IF(metadata!H510="",FALSE,TRUE),exact(metadata!H510,"Mus musculus"))</f>
        <v>0</v>
      </c>
      <c r="AC510">
        <f>AND(IF(metadata!I510="",FALSE,TRUE),exact(metadata!I510,"10090"))</f>
        <v>0</v>
      </c>
      <c r="AD510">
        <f>OR(AND(IF(metadata!J510="",FALSE,TRUE),OR(exact(metadata!J510,"not applicable"),exact(metadata!J510,"missing: not collected"),exact(metadata!J510,"missing: not provided"),exact(metadata!J510,"missing: restricted access"))),AND(IF(metadata!J510="",FALSE,ISNUMBER(VALUE(metadata!J510))),metadata!J510&gt;0))</f>
        <v>0</v>
      </c>
      <c r="AE510">
        <f>AND(IF(metadata!K510="",FALSE,TRUE),exact(metadata!K510,"g"))</f>
        <v>0</v>
      </c>
    </row>
    <row r="511" spans="1:31">
      <c r="A511" s="5">
        <f>IF(B511=" "," ",HYPERLINK(CONCATENATE("#metadata!",ADDRESS(INDEX($Q$2:$Q$1001,MATCH(ROWS($O$2:O511),$O$2:$O$1001,0),0),1)),INDEX($T$2:$T$1001,MATCH(ROWS($O$2:O511),$O$2:$O$1001,0),0)))</f>
        <v>0</v>
      </c>
      <c r="B511" s="4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4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4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4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4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4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4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4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4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4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OR(AND(IF(metadata!C511="",FALSE,TRUE),OR(exact(metadata!C511,"not applicable"),exact(metadata!C511,"missing: not collected"),exact(metadata!C511,"missing: not provided"),exact(metadata!C511,"missing: restricted access"))),AND(IF(metadata!C511="",FALSE,ISNUMBER(VALUE(metadata!C511))),metadata!C511&gt;0))</f>
        <v>0</v>
      </c>
      <c r="X511">
        <f>AND(IF(metadata!D511="",FALSE,TRUE),exact(metadata!D511,"weeks"))</f>
        <v>0</v>
      </c>
      <c r="Y511">
        <f>AND(IF(metadata!E511="",FALSE,TRUE),exact(metadata!E511,"urban biome"))</f>
        <v>0</v>
      </c>
      <c r="Z511">
        <f>AND(IF(metadata!F511="",FALSE,TRUE),exact(metadata!F511,"animal-associated habitat"))</f>
        <v>0</v>
      </c>
      <c r="AA511">
        <f>AND(IF(metadata!G511="",FALSE,TRUE),exact(metadata!G511,"mouse"))</f>
        <v>0</v>
      </c>
      <c r="AB511">
        <f>AND(IF(metadata!H511="",FALSE,TRUE),exact(metadata!H511,"Mus musculus"))</f>
        <v>0</v>
      </c>
      <c r="AC511">
        <f>AND(IF(metadata!I511="",FALSE,TRUE),exact(metadata!I511,"10090"))</f>
        <v>0</v>
      </c>
      <c r="AD511">
        <f>OR(AND(IF(metadata!J511="",FALSE,TRUE),OR(exact(metadata!J511,"not applicable"),exact(metadata!J511,"missing: not collected"),exact(metadata!J511,"missing: not provided"),exact(metadata!J511,"missing: restricted access"))),AND(IF(metadata!J511="",FALSE,ISNUMBER(VALUE(metadata!J511))),metadata!J511&gt;0))</f>
        <v>0</v>
      </c>
      <c r="AE511">
        <f>AND(IF(metadata!K511="",FALSE,TRUE),exact(metadata!K511,"g"))</f>
        <v>0</v>
      </c>
    </row>
    <row r="512" spans="1:31">
      <c r="A512" s="5">
        <f>IF(B512=" "," ",HYPERLINK(CONCATENATE("#metadata!",ADDRESS(INDEX($Q$2:$Q$1001,MATCH(ROWS($O$2:O512),$O$2:$O$1001,0),0),1)),INDEX($T$2:$T$1001,MATCH(ROWS($O$2:O512),$O$2:$O$1001,0),0)))</f>
        <v>0</v>
      </c>
      <c r="B512" s="4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4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4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4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4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4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4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4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4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4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OR(AND(IF(metadata!C512="",FALSE,TRUE),OR(exact(metadata!C512,"not applicable"),exact(metadata!C512,"missing: not collected"),exact(metadata!C512,"missing: not provided"),exact(metadata!C512,"missing: restricted access"))),AND(IF(metadata!C512="",FALSE,ISNUMBER(VALUE(metadata!C512))),metadata!C512&gt;0))</f>
        <v>0</v>
      </c>
      <c r="X512">
        <f>AND(IF(metadata!D512="",FALSE,TRUE),exact(metadata!D512,"weeks"))</f>
        <v>0</v>
      </c>
      <c r="Y512">
        <f>AND(IF(metadata!E512="",FALSE,TRUE),exact(metadata!E512,"urban biome"))</f>
        <v>0</v>
      </c>
      <c r="Z512">
        <f>AND(IF(metadata!F512="",FALSE,TRUE),exact(metadata!F512,"animal-associated habitat"))</f>
        <v>0</v>
      </c>
      <c r="AA512">
        <f>AND(IF(metadata!G512="",FALSE,TRUE),exact(metadata!G512,"mouse"))</f>
        <v>0</v>
      </c>
      <c r="AB512">
        <f>AND(IF(metadata!H512="",FALSE,TRUE),exact(metadata!H512,"Mus musculus"))</f>
        <v>0</v>
      </c>
      <c r="AC512">
        <f>AND(IF(metadata!I512="",FALSE,TRUE),exact(metadata!I512,"10090"))</f>
        <v>0</v>
      </c>
      <c r="AD512">
        <f>OR(AND(IF(metadata!J512="",FALSE,TRUE),OR(exact(metadata!J512,"not applicable"),exact(metadata!J512,"missing: not collected"),exact(metadata!J512,"missing: not provided"),exact(metadata!J512,"missing: restricted access"))),AND(IF(metadata!J512="",FALSE,ISNUMBER(VALUE(metadata!J512))),metadata!J512&gt;0))</f>
        <v>0</v>
      </c>
      <c r="AE512">
        <f>AND(IF(metadata!K512="",FALSE,TRUE),exact(metadata!K512,"g"))</f>
        <v>0</v>
      </c>
    </row>
    <row r="513" spans="1:31">
      <c r="A513" s="5">
        <f>IF(B513=" "," ",HYPERLINK(CONCATENATE("#metadata!",ADDRESS(INDEX($Q$2:$Q$1001,MATCH(ROWS($O$2:O513),$O$2:$O$1001,0),0),1)),INDEX($T$2:$T$1001,MATCH(ROWS($O$2:O513),$O$2:$O$1001,0),0)))</f>
        <v>0</v>
      </c>
      <c r="B513" s="4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4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4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4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4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4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4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4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4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4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OR(AND(IF(metadata!C513="",FALSE,TRUE),OR(exact(metadata!C513,"not applicable"),exact(metadata!C513,"missing: not collected"),exact(metadata!C513,"missing: not provided"),exact(metadata!C513,"missing: restricted access"))),AND(IF(metadata!C513="",FALSE,ISNUMBER(VALUE(metadata!C513))),metadata!C513&gt;0))</f>
        <v>0</v>
      </c>
      <c r="X513">
        <f>AND(IF(metadata!D513="",FALSE,TRUE),exact(metadata!D513,"weeks"))</f>
        <v>0</v>
      </c>
      <c r="Y513">
        <f>AND(IF(metadata!E513="",FALSE,TRUE),exact(metadata!E513,"urban biome"))</f>
        <v>0</v>
      </c>
      <c r="Z513">
        <f>AND(IF(metadata!F513="",FALSE,TRUE),exact(metadata!F513,"animal-associated habitat"))</f>
        <v>0</v>
      </c>
      <c r="AA513">
        <f>AND(IF(metadata!G513="",FALSE,TRUE),exact(metadata!G513,"mouse"))</f>
        <v>0</v>
      </c>
      <c r="AB513">
        <f>AND(IF(metadata!H513="",FALSE,TRUE),exact(metadata!H513,"Mus musculus"))</f>
        <v>0</v>
      </c>
      <c r="AC513">
        <f>AND(IF(metadata!I513="",FALSE,TRUE),exact(metadata!I513,"10090"))</f>
        <v>0</v>
      </c>
      <c r="AD513">
        <f>OR(AND(IF(metadata!J513="",FALSE,TRUE),OR(exact(metadata!J513,"not applicable"),exact(metadata!J513,"missing: not collected"),exact(metadata!J513,"missing: not provided"),exact(metadata!J513,"missing: restricted access"))),AND(IF(metadata!J513="",FALSE,ISNUMBER(VALUE(metadata!J513))),metadata!J513&gt;0))</f>
        <v>0</v>
      </c>
      <c r="AE513">
        <f>AND(IF(metadata!K513="",FALSE,TRUE),exact(metadata!K513,"g"))</f>
        <v>0</v>
      </c>
    </row>
    <row r="514" spans="1:31">
      <c r="A514" s="5">
        <f>IF(B514=" "," ",HYPERLINK(CONCATENATE("#metadata!",ADDRESS(INDEX($Q$2:$Q$1001,MATCH(ROWS($O$2:O514),$O$2:$O$1001,0),0),1)),INDEX($T$2:$T$1001,MATCH(ROWS($O$2:O514),$O$2:$O$1001,0),0)))</f>
        <v>0</v>
      </c>
      <c r="B514" s="4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4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4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4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4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4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4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4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4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4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OR(AND(IF(metadata!C514="",FALSE,TRUE),OR(exact(metadata!C514,"not applicable"),exact(metadata!C514,"missing: not collected"),exact(metadata!C514,"missing: not provided"),exact(metadata!C514,"missing: restricted access"))),AND(IF(metadata!C514="",FALSE,ISNUMBER(VALUE(metadata!C514))),metadata!C514&gt;0))</f>
        <v>0</v>
      </c>
      <c r="X514">
        <f>AND(IF(metadata!D514="",FALSE,TRUE),exact(metadata!D514,"weeks"))</f>
        <v>0</v>
      </c>
      <c r="Y514">
        <f>AND(IF(metadata!E514="",FALSE,TRUE),exact(metadata!E514,"urban biome"))</f>
        <v>0</v>
      </c>
      <c r="Z514">
        <f>AND(IF(metadata!F514="",FALSE,TRUE),exact(metadata!F514,"animal-associated habitat"))</f>
        <v>0</v>
      </c>
      <c r="AA514">
        <f>AND(IF(metadata!G514="",FALSE,TRUE),exact(metadata!G514,"mouse"))</f>
        <v>0</v>
      </c>
      <c r="AB514">
        <f>AND(IF(metadata!H514="",FALSE,TRUE),exact(metadata!H514,"Mus musculus"))</f>
        <v>0</v>
      </c>
      <c r="AC514">
        <f>AND(IF(metadata!I514="",FALSE,TRUE),exact(metadata!I514,"10090"))</f>
        <v>0</v>
      </c>
      <c r="AD514">
        <f>OR(AND(IF(metadata!J514="",FALSE,TRUE),OR(exact(metadata!J514,"not applicable"),exact(metadata!J514,"missing: not collected"),exact(metadata!J514,"missing: not provided"),exact(metadata!J514,"missing: restricted access"))),AND(IF(metadata!J514="",FALSE,ISNUMBER(VALUE(metadata!J514))),metadata!J514&gt;0))</f>
        <v>0</v>
      </c>
      <c r="AE514">
        <f>AND(IF(metadata!K514="",FALSE,TRUE),exact(metadata!K514,"g"))</f>
        <v>0</v>
      </c>
    </row>
    <row r="515" spans="1:31">
      <c r="A515" s="5">
        <f>IF(B515=" "," ",HYPERLINK(CONCATENATE("#metadata!",ADDRESS(INDEX($Q$2:$Q$1001,MATCH(ROWS($O$2:O515),$O$2:$O$1001,0),0),1)),INDEX($T$2:$T$1001,MATCH(ROWS($O$2:O515),$O$2:$O$1001,0),0)))</f>
        <v>0</v>
      </c>
      <c r="B515" s="4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4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4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4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4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4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4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4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4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4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OR(AND(IF(metadata!C515="",FALSE,TRUE),OR(exact(metadata!C515,"not applicable"),exact(metadata!C515,"missing: not collected"),exact(metadata!C515,"missing: not provided"),exact(metadata!C515,"missing: restricted access"))),AND(IF(metadata!C515="",FALSE,ISNUMBER(VALUE(metadata!C515))),metadata!C515&gt;0))</f>
        <v>0</v>
      </c>
      <c r="X515">
        <f>AND(IF(metadata!D515="",FALSE,TRUE),exact(metadata!D515,"weeks"))</f>
        <v>0</v>
      </c>
      <c r="Y515">
        <f>AND(IF(metadata!E515="",FALSE,TRUE),exact(metadata!E515,"urban biome"))</f>
        <v>0</v>
      </c>
      <c r="Z515">
        <f>AND(IF(metadata!F515="",FALSE,TRUE),exact(metadata!F515,"animal-associated habitat"))</f>
        <v>0</v>
      </c>
      <c r="AA515">
        <f>AND(IF(metadata!G515="",FALSE,TRUE),exact(metadata!G515,"mouse"))</f>
        <v>0</v>
      </c>
      <c r="AB515">
        <f>AND(IF(metadata!H515="",FALSE,TRUE),exact(metadata!H515,"Mus musculus"))</f>
        <v>0</v>
      </c>
      <c r="AC515">
        <f>AND(IF(metadata!I515="",FALSE,TRUE),exact(metadata!I515,"10090"))</f>
        <v>0</v>
      </c>
      <c r="AD515">
        <f>OR(AND(IF(metadata!J515="",FALSE,TRUE),OR(exact(metadata!J515,"not applicable"),exact(metadata!J515,"missing: not collected"),exact(metadata!J515,"missing: not provided"),exact(metadata!J515,"missing: restricted access"))),AND(IF(metadata!J515="",FALSE,ISNUMBER(VALUE(metadata!J515))),metadata!J515&gt;0))</f>
        <v>0</v>
      </c>
      <c r="AE515">
        <f>AND(IF(metadata!K515="",FALSE,TRUE),exact(metadata!K515,"g"))</f>
        <v>0</v>
      </c>
    </row>
    <row r="516" spans="1:31">
      <c r="A516" s="5">
        <f>IF(B516=" "," ",HYPERLINK(CONCATENATE("#metadata!",ADDRESS(INDEX($Q$2:$Q$1001,MATCH(ROWS($O$2:O516),$O$2:$O$1001,0),0),1)),INDEX($T$2:$T$1001,MATCH(ROWS($O$2:O516),$O$2:$O$1001,0),0)))</f>
        <v>0</v>
      </c>
      <c r="B516" s="4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4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4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4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4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4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4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4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4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4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OR(AND(IF(metadata!C516="",FALSE,TRUE),OR(exact(metadata!C516,"not applicable"),exact(metadata!C516,"missing: not collected"),exact(metadata!C516,"missing: not provided"),exact(metadata!C516,"missing: restricted access"))),AND(IF(metadata!C516="",FALSE,ISNUMBER(VALUE(metadata!C516))),metadata!C516&gt;0))</f>
        <v>0</v>
      </c>
      <c r="X516">
        <f>AND(IF(metadata!D516="",FALSE,TRUE),exact(metadata!D516,"weeks"))</f>
        <v>0</v>
      </c>
      <c r="Y516">
        <f>AND(IF(metadata!E516="",FALSE,TRUE),exact(metadata!E516,"urban biome"))</f>
        <v>0</v>
      </c>
      <c r="Z516">
        <f>AND(IF(metadata!F516="",FALSE,TRUE),exact(metadata!F516,"animal-associated habitat"))</f>
        <v>0</v>
      </c>
      <c r="AA516">
        <f>AND(IF(metadata!G516="",FALSE,TRUE),exact(metadata!G516,"mouse"))</f>
        <v>0</v>
      </c>
      <c r="AB516">
        <f>AND(IF(metadata!H516="",FALSE,TRUE),exact(metadata!H516,"Mus musculus"))</f>
        <v>0</v>
      </c>
      <c r="AC516">
        <f>AND(IF(metadata!I516="",FALSE,TRUE),exact(metadata!I516,"10090"))</f>
        <v>0</v>
      </c>
      <c r="AD516">
        <f>OR(AND(IF(metadata!J516="",FALSE,TRUE),OR(exact(metadata!J516,"not applicable"),exact(metadata!J516,"missing: not collected"),exact(metadata!J516,"missing: not provided"),exact(metadata!J516,"missing: restricted access"))),AND(IF(metadata!J516="",FALSE,ISNUMBER(VALUE(metadata!J516))),metadata!J516&gt;0))</f>
        <v>0</v>
      </c>
      <c r="AE516">
        <f>AND(IF(metadata!K516="",FALSE,TRUE),exact(metadata!K516,"g"))</f>
        <v>0</v>
      </c>
    </row>
    <row r="517" spans="1:31">
      <c r="A517" s="5">
        <f>IF(B517=" "," ",HYPERLINK(CONCATENATE("#metadata!",ADDRESS(INDEX($Q$2:$Q$1001,MATCH(ROWS($O$2:O517),$O$2:$O$1001,0),0),1)),INDEX($T$2:$T$1001,MATCH(ROWS($O$2:O517),$O$2:$O$1001,0),0)))</f>
        <v>0</v>
      </c>
      <c r="B517" s="4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4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4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4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4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4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4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4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4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4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OR(AND(IF(metadata!C517="",FALSE,TRUE),OR(exact(metadata!C517,"not applicable"),exact(metadata!C517,"missing: not collected"),exact(metadata!C517,"missing: not provided"),exact(metadata!C517,"missing: restricted access"))),AND(IF(metadata!C517="",FALSE,ISNUMBER(VALUE(metadata!C517))),metadata!C517&gt;0))</f>
        <v>0</v>
      </c>
      <c r="X517">
        <f>AND(IF(metadata!D517="",FALSE,TRUE),exact(metadata!D517,"weeks"))</f>
        <v>0</v>
      </c>
      <c r="Y517">
        <f>AND(IF(metadata!E517="",FALSE,TRUE),exact(metadata!E517,"urban biome"))</f>
        <v>0</v>
      </c>
      <c r="Z517">
        <f>AND(IF(metadata!F517="",FALSE,TRUE),exact(metadata!F517,"animal-associated habitat"))</f>
        <v>0</v>
      </c>
      <c r="AA517">
        <f>AND(IF(metadata!G517="",FALSE,TRUE),exact(metadata!G517,"mouse"))</f>
        <v>0</v>
      </c>
      <c r="AB517">
        <f>AND(IF(metadata!H517="",FALSE,TRUE),exact(metadata!H517,"Mus musculus"))</f>
        <v>0</v>
      </c>
      <c r="AC517">
        <f>AND(IF(metadata!I517="",FALSE,TRUE),exact(metadata!I517,"10090"))</f>
        <v>0</v>
      </c>
      <c r="AD517">
        <f>OR(AND(IF(metadata!J517="",FALSE,TRUE),OR(exact(metadata!J517,"not applicable"),exact(metadata!J517,"missing: not collected"),exact(metadata!J517,"missing: not provided"),exact(metadata!J517,"missing: restricted access"))),AND(IF(metadata!J517="",FALSE,ISNUMBER(VALUE(metadata!J517))),metadata!J517&gt;0))</f>
        <v>0</v>
      </c>
      <c r="AE517">
        <f>AND(IF(metadata!K517="",FALSE,TRUE),exact(metadata!K517,"g"))</f>
        <v>0</v>
      </c>
    </row>
    <row r="518" spans="1:31">
      <c r="A518" s="5">
        <f>IF(B518=" "," ",HYPERLINK(CONCATENATE("#metadata!",ADDRESS(INDEX($Q$2:$Q$1001,MATCH(ROWS($O$2:O518),$O$2:$O$1001,0),0),1)),INDEX($T$2:$T$1001,MATCH(ROWS($O$2:O518),$O$2:$O$1001,0),0)))</f>
        <v>0</v>
      </c>
      <c r="B518" s="4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4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4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4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4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4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4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4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4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4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OR(AND(IF(metadata!C518="",FALSE,TRUE),OR(exact(metadata!C518,"not applicable"),exact(metadata!C518,"missing: not collected"),exact(metadata!C518,"missing: not provided"),exact(metadata!C518,"missing: restricted access"))),AND(IF(metadata!C518="",FALSE,ISNUMBER(VALUE(metadata!C518))),metadata!C518&gt;0))</f>
        <v>0</v>
      </c>
      <c r="X518">
        <f>AND(IF(metadata!D518="",FALSE,TRUE),exact(metadata!D518,"weeks"))</f>
        <v>0</v>
      </c>
      <c r="Y518">
        <f>AND(IF(metadata!E518="",FALSE,TRUE),exact(metadata!E518,"urban biome"))</f>
        <v>0</v>
      </c>
      <c r="Z518">
        <f>AND(IF(metadata!F518="",FALSE,TRUE),exact(metadata!F518,"animal-associated habitat"))</f>
        <v>0</v>
      </c>
      <c r="AA518">
        <f>AND(IF(metadata!G518="",FALSE,TRUE),exact(metadata!G518,"mouse"))</f>
        <v>0</v>
      </c>
      <c r="AB518">
        <f>AND(IF(metadata!H518="",FALSE,TRUE),exact(metadata!H518,"Mus musculus"))</f>
        <v>0</v>
      </c>
      <c r="AC518">
        <f>AND(IF(metadata!I518="",FALSE,TRUE),exact(metadata!I518,"10090"))</f>
        <v>0</v>
      </c>
      <c r="AD518">
        <f>OR(AND(IF(metadata!J518="",FALSE,TRUE),OR(exact(metadata!J518,"not applicable"),exact(metadata!J518,"missing: not collected"),exact(metadata!J518,"missing: not provided"),exact(metadata!J518,"missing: restricted access"))),AND(IF(metadata!J518="",FALSE,ISNUMBER(VALUE(metadata!J518))),metadata!J518&gt;0))</f>
        <v>0</v>
      </c>
      <c r="AE518">
        <f>AND(IF(metadata!K518="",FALSE,TRUE),exact(metadata!K518,"g"))</f>
        <v>0</v>
      </c>
    </row>
    <row r="519" spans="1:31">
      <c r="A519" s="5">
        <f>IF(B519=" "," ",HYPERLINK(CONCATENATE("#metadata!",ADDRESS(INDEX($Q$2:$Q$1001,MATCH(ROWS($O$2:O519),$O$2:$O$1001,0),0),1)),INDEX($T$2:$T$1001,MATCH(ROWS($O$2:O519),$O$2:$O$1001,0),0)))</f>
        <v>0</v>
      </c>
      <c r="B519" s="4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4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4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4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4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4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4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4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4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4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OR(AND(IF(metadata!C519="",FALSE,TRUE),OR(exact(metadata!C519,"not applicable"),exact(metadata!C519,"missing: not collected"),exact(metadata!C519,"missing: not provided"),exact(metadata!C519,"missing: restricted access"))),AND(IF(metadata!C519="",FALSE,ISNUMBER(VALUE(metadata!C519))),metadata!C519&gt;0))</f>
        <v>0</v>
      </c>
      <c r="X519">
        <f>AND(IF(metadata!D519="",FALSE,TRUE),exact(metadata!D519,"weeks"))</f>
        <v>0</v>
      </c>
      <c r="Y519">
        <f>AND(IF(metadata!E519="",FALSE,TRUE),exact(metadata!E519,"urban biome"))</f>
        <v>0</v>
      </c>
      <c r="Z519">
        <f>AND(IF(metadata!F519="",FALSE,TRUE),exact(metadata!F519,"animal-associated habitat"))</f>
        <v>0</v>
      </c>
      <c r="AA519">
        <f>AND(IF(metadata!G519="",FALSE,TRUE),exact(metadata!G519,"mouse"))</f>
        <v>0</v>
      </c>
      <c r="AB519">
        <f>AND(IF(metadata!H519="",FALSE,TRUE),exact(metadata!H519,"Mus musculus"))</f>
        <v>0</v>
      </c>
      <c r="AC519">
        <f>AND(IF(metadata!I519="",FALSE,TRUE),exact(metadata!I519,"10090"))</f>
        <v>0</v>
      </c>
      <c r="AD519">
        <f>OR(AND(IF(metadata!J519="",FALSE,TRUE),OR(exact(metadata!J519,"not applicable"),exact(metadata!J519,"missing: not collected"),exact(metadata!J519,"missing: not provided"),exact(metadata!J519,"missing: restricted access"))),AND(IF(metadata!J519="",FALSE,ISNUMBER(VALUE(metadata!J519))),metadata!J519&gt;0))</f>
        <v>0</v>
      </c>
      <c r="AE519">
        <f>AND(IF(metadata!K519="",FALSE,TRUE),exact(metadata!K519,"g"))</f>
        <v>0</v>
      </c>
    </row>
    <row r="520" spans="1:31">
      <c r="A520" s="5">
        <f>IF(B520=" "," ",HYPERLINK(CONCATENATE("#metadata!",ADDRESS(INDEX($Q$2:$Q$1001,MATCH(ROWS($O$2:O520),$O$2:$O$1001,0),0),1)),INDEX($T$2:$T$1001,MATCH(ROWS($O$2:O520),$O$2:$O$1001,0),0)))</f>
        <v>0</v>
      </c>
      <c r="B520" s="4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4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4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4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4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4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4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4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4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4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OR(AND(IF(metadata!C520="",FALSE,TRUE),OR(exact(metadata!C520,"not applicable"),exact(metadata!C520,"missing: not collected"),exact(metadata!C520,"missing: not provided"),exact(metadata!C520,"missing: restricted access"))),AND(IF(metadata!C520="",FALSE,ISNUMBER(VALUE(metadata!C520))),metadata!C520&gt;0))</f>
        <v>0</v>
      </c>
      <c r="X520">
        <f>AND(IF(metadata!D520="",FALSE,TRUE),exact(metadata!D520,"weeks"))</f>
        <v>0</v>
      </c>
      <c r="Y520">
        <f>AND(IF(metadata!E520="",FALSE,TRUE),exact(metadata!E520,"urban biome"))</f>
        <v>0</v>
      </c>
      <c r="Z520">
        <f>AND(IF(metadata!F520="",FALSE,TRUE),exact(metadata!F520,"animal-associated habitat"))</f>
        <v>0</v>
      </c>
      <c r="AA520">
        <f>AND(IF(metadata!G520="",FALSE,TRUE),exact(metadata!G520,"mouse"))</f>
        <v>0</v>
      </c>
      <c r="AB520">
        <f>AND(IF(metadata!H520="",FALSE,TRUE),exact(metadata!H520,"Mus musculus"))</f>
        <v>0</v>
      </c>
      <c r="AC520">
        <f>AND(IF(metadata!I520="",FALSE,TRUE),exact(metadata!I520,"10090"))</f>
        <v>0</v>
      </c>
      <c r="AD520">
        <f>OR(AND(IF(metadata!J520="",FALSE,TRUE),OR(exact(metadata!J520,"not applicable"),exact(metadata!J520,"missing: not collected"),exact(metadata!J520,"missing: not provided"),exact(metadata!J520,"missing: restricted access"))),AND(IF(metadata!J520="",FALSE,ISNUMBER(VALUE(metadata!J520))),metadata!J520&gt;0))</f>
        <v>0</v>
      </c>
      <c r="AE520">
        <f>AND(IF(metadata!K520="",FALSE,TRUE),exact(metadata!K520,"g"))</f>
        <v>0</v>
      </c>
    </row>
    <row r="521" spans="1:31">
      <c r="A521" s="5">
        <f>IF(B521=" "," ",HYPERLINK(CONCATENATE("#metadata!",ADDRESS(INDEX($Q$2:$Q$1001,MATCH(ROWS($O$2:O521),$O$2:$O$1001,0),0),1)),INDEX($T$2:$T$1001,MATCH(ROWS($O$2:O521),$O$2:$O$1001,0),0)))</f>
        <v>0</v>
      </c>
      <c r="B521" s="4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4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4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4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4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4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4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4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4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4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OR(AND(IF(metadata!C521="",FALSE,TRUE),OR(exact(metadata!C521,"not applicable"),exact(metadata!C521,"missing: not collected"),exact(metadata!C521,"missing: not provided"),exact(metadata!C521,"missing: restricted access"))),AND(IF(metadata!C521="",FALSE,ISNUMBER(VALUE(metadata!C521))),metadata!C521&gt;0))</f>
        <v>0</v>
      </c>
      <c r="X521">
        <f>AND(IF(metadata!D521="",FALSE,TRUE),exact(metadata!D521,"weeks"))</f>
        <v>0</v>
      </c>
      <c r="Y521">
        <f>AND(IF(metadata!E521="",FALSE,TRUE),exact(metadata!E521,"urban biome"))</f>
        <v>0</v>
      </c>
      <c r="Z521">
        <f>AND(IF(metadata!F521="",FALSE,TRUE),exact(metadata!F521,"animal-associated habitat"))</f>
        <v>0</v>
      </c>
      <c r="AA521">
        <f>AND(IF(metadata!G521="",FALSE,TRUE),exact(metadata!G521,"mouse"))</f>
        <v>0</v>
      </c>
      <c r="AB521">
        <f>AND(IF(metadata!H521="",FALSE,TRUE),exact(metadata!H521,"Mus musculus"))</f>
        <v>0</v>
      </c>
      <c r="AC521">
        <f>AND(IF(metadata!I521="",FALSE,TRUE),exact(metadata!I521,"10090"))</f>
        <v>0</v>
      </c>
      <c r="AD521">
        <f>OR(AND(IF(metadata!J521="",FALSE,TRUE),OR(exact(metadata!J521,"not applicable"),exact(metadata!J521,"missing: not collected"),exact(metadata!J521,"missing: not provided"),exact(metadata!J521,"missing: restricted access"))),AND(IF(metadata!J521="",FALSE,ISNUMBER(VALUE(metadata!J521))),metadata!J521&gt;0))</f>
        <v>0</v>
      </c>
      <c r="AE521">
        <f>AND(IF(metadata!K521="",FALSE,TRUE),exact(metadata!K521,"g"))</f>
        <v>0</v>
      </c>
    </row>
    <row r="522" spans="1:31">
      <c r="A522" s="5">
        <f>IF(B522=" "," ",HYPERLINK(CONCATENATE("#metadata!",ADDRESS(INDEX($Q$2:$Q$1001,MATCH(ROWS($O$2:O522),$O$2:$O$1001,0),0),1)),INDEX($T$2:$T$1001,MATCH(ROWS($O$2:O522),$O$2:$O$1001,0),0)))</f>
        <v>0</v>
      </c>
      <c r="B522" s="4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4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4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4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4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4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4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4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4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4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OR(AND(IF(metadata!C522="",FALSE,TRUE),OR(exact(metadata!C522,"not applicable"),exact(metadata!C522,"missing: not collected"),exact(metadata!C522,"missing: not provided"),exact(metadata!C522,"missing: restricted access"))),AND(IF(metadata!C522="",FALSE,ISNUMBER(VALUE(metadata!C522))),metadata!C522&gt;0))</f>
        <v>0</v>
      </c>
      <c r="X522">
        <f>AND(IF(metadata!D522="",FALSE,TRUE),exact(metadata!D522,"weeks"))</f>
        <v>0</v>
      </c>
      <c r="Y522">
        <f>AND(IF(metadata!E522="",FALSE,TRUE),exact(metadata!E522,"urban biome"))</f>
        <v>0</v>
      </c>
      <c r="Z522">
        <f>AND(IF(metadata!F522="",FALSE,TRUE),exact(metadata!F522,"animal-associated habitat"))</f>
        <v>0</v>
      </c>
      <c r="AA522">
        <f>AND(IF(metadata!G522="",FALSE,TRUE),exact(metadata!G522,"mouse"))</f>
        <v>0</v>
      </c>
      <c r="AB522">
        <f>AND(IF(metadata!H522="",FALSE,TRUE),exact(metadata!H522,"Mus musculus"))</f>
        <v>0</v>
      </c>
      <c r="AC522">
        <f>AND(IF(metadata!I522="",FALSE,TRUE),exact(metadata!I522,"10090"))</f>
        <v>0</v>
      </c>
      <c r="AD522">
        <f>OR(AND(IF(metadata!J522="",FALSE,TRUE),OR(exact(metadata!J522,"not applicable"),exact(metadata!J522,"missing: not collected"),exact(metadata!J522,"missing: not provided"),exact(metadata!J522,"missing: restricted access"))),AND(IF(metadata!J522="",FALSE,ISNUMBER(VALUE(metadata!J522))),metadata!J522&gt;0))</f>
        <v>0</v>
      </c>
      <c r="AE522">
        <f>AND(IF(metadata!K522="",FALSE,TRUE),exact(metadata!K522,"g"))</f>
        <v>0</v>
      </c>
    </row>
    <row r="523" spans="1:31">
      <c r="A523" s="5">
        <f>IF(B523=" "," ",HYPERLINK(CONCATENATE("#metadata!",ADDRESS(INDEX($Q$2:$Q$1001,MATCH(ROWS($O$2:O523),$O$2:$O$1001,0),0),1)),INDEX($T$2:$T$1001,MATCH(ROWS($O$2:O523),$O$2:$O$1001,0),0)))</f>
        <v>0</v>
      </c>
      <c r="B523" s="4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4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4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4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4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4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4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4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4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4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OR(AND(IF(metadata!C523="",FALSE,TRUE),OR(exact(metadata!C523,"not applicable"),exact(metadata!C523,"missing: not collected"),exact(metadata!C523,"missing: not provided"),exact(metadata!C523,"missing: restricted access"))),AND(IF(metadata!C523="",FALSE,ISNUMBER(VALUE(metadata!C523))),metadata!C523&gt;0))</f>
        <v>0</v>
      </c>
      <c r="X523">
        <f>AND(IF(metadata!D523="",FALSE,TRUE),exact(metadata!D523,"weeks"))</f>
        <v>0</v>
      </c>
      <c r="Y523">
        <f>AND(IF(metadata!E523="",FALSE,TRUE),exact(metadata!E523,"urban biome"))</f>
        <v>0</v>
      </c>
      <c r="Z523">
        <f>AND(IF(metadata!F523="",FALSE,TRUE),exact(metadata!F523,"animal-associated habitat"))</f>
        <v>0</v>
      </c>
      <c r="AA523">
        <f>AND(IF(metadata!G523="",FALSE,TRUE),exact(metadata!G523,"mouse"))</f>
        <v>0</v>
      </c>
      <c r="AB523">
        <f>AND(IF(metadata!H523="",FALSE,TRUE),exact(metadata!H523,"Mus musculus"))</f>
        <v>0</v>
      </c>
      <c r="AC523">
        <f>AND(IF(metadata!I523="",FALSE,TRUE),exact(metadata!I523,"10090"))</f>
        <v>0</v>
      </c>
      <c r="AD523">
        <f>OR(AND(IF(metadata!J523="",FALSE,TRUE),OR(exact(metadata!J523,"not applicable"),exact(metadata!J523,"missing: not collected"),exact(metadata!J523,"missing: not provided"),exact(metadata!J523,"missing: restricted access"))),AND(IF(metadata!J523="",FALSE,ISNUMBER(VALUE(metadata!J523))),metadata!J523&gt;0))</f>
        <v>0</v>
      </c>
      <c r="AE523">
        <f>AND(IF(metadata!K523="",FALSE,TRUE),exact(metadata!K523,"g"))</f>
        <v>0</v>
      </c>
    </row>
    <row r="524" spans="1:31">
      <c r="A524" s="5">
        <f>IF(B524=" "," ",HYPERLINK(CONCATENATE("#metadata!",ADDRESS(INDEX($Q$2:$Q$1001,MATCH(ROWS($O$2:O524),$O$2:$O$1001,0),0),1)),INDEX($T$2:$T$1001,MATCH(ROWS($O$2:O524),$O$2:$O$1001,0),0)))</f>
        <v>0</v>
      </c>
      <c r="B524" s="4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4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4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4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4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4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4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4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4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4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OR(AND(IF(metadata!C524="",FALSE,TRUE),OR(exact(metadata!C524,"not applicable"),exact(metadata!C524,"missing: not collected"),exact(metadata!C524,"missing: not provided"),exact(metadata!C524,"missing: restricted access"))),AND(IF(metadata!C524="",FALSE,ISNUMBER(VALUE(metadata!C524))),metadata!C524&gt;0))</f>
        <v>0</v>
      </c>
      <c r="X524">
        <f>AND(IF(metadata!D524="",FALSE,TRUE),exact(metadata!D524,"weeks"))</f>
        <v>0</v>
      </c>
      <c r="Y524">
        <f>AND(IF(metadata!E524="",FALSE,TRUE),exact(metadata!E524,"urban biome"))</f>
        <v>0</v>
      </c>
      <c r="Z524">
        <f>AND(IF(metadata!F524="",FALSE,TRUE),exact(metadata!F524,"animal-associated habitat"))</f>
        <v>0</v>
      </c>
      <c r="AA524">
        <f>AND(IF(metadata!G524="",FALSE,TRUE),exact(metadata!G524,"mouse"))</f>
        <v>0</v>
      </c>
      <c r="AB524">
        <f>AND(IF(metadata!H524="",FALSE,TRUE),exact(metadata!H524,"Mus musculus"))</f>
        <v>0</v>
      </c>
      <c r="AC524">
        <f>AND(IF(metadata!I524="",FALSE,TRUE),exact(metadata!I524,"10090"))</f>
        <v>0</v>
      </c>
      <c r="AD524">
        <f>OR(AND(IF(metadata!J524="",FALSE,TRUE),OR(exact(metadata!J524,"not applicable"),exact(metadata!J524,"missing: not collected"),exact(metadata!J524,"missing: not provided"),exact(metadata!J524,"missing: restricted access"))),AND(IF(metadata!J524="",FALSE,ISNUMBER(VALUE(metadata!J524))),metadata!J524&gt;0))</f>
        <v>0</v>
      </c>
      <c r="AE524">
        <f>AND(IF(metadata!K524="",FALSE,TRUE),exact(metadata!K524,"g"))</f>
        <v>0</v>
      </c>
    </row>
    <row r="525" spans="1:31">
      <c r="A525" s="5">
        <f>IF(B525=" "," ",HYPERLINK(CONCATENATE("#metadata!",ADDRESS(INDEX($Q$2:$Q$1001,MATCH(ROWS($O$2:O525),$O$2:$O$1001,0),0),1)),INDEX($T$2:$T$1001,MATCH(ROWS($O$2:O525),$O$2:$O$1001,0),0)))</f>
        <v>0</v>
      </c>
      <c r="B525" s="4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4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4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4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4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4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4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4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4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4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OR(AND(IF(metadata!C525="",FALSE,TRUE),OR(exact(metadata!C525,"not applicable"),exact(metadata!C525,"missing: not collected"),exact(metadata!C525,"missing: not provided"),exact(metadata!C525,"missing: restricted access"))),AND(IF(metadata!C525="",FALSE,ISNUMBER(VALUE(metadata!C525))),metadata!C525&gt;0))</f>
        <v>0</v>
      </c>
      <c r="X525">
        <f>AND(IF(metadata!D525="",FALSE,TRUE),exact(metadata!D525,"weeks"))</f>
        <v>0</v>
      </c>
      <c r="Y525">
        <f>AND(IF(metadata!E525="",FALSE,TRUE),exact(metadata!E525,"urban biome"))</f>
        <v>0</v>
      </c>
      <c r="Z525">
        <f>AND(IF(metadata!F525="",FALSE,TRUE),exact(metadata!F525,"animal-associated habitat"))</f>
        <v>0</v>
      </c>
      <c r="AA525">
        <f>AND(IF(metadata!G525="",FALSE,TRUE),exact(metadata!G525,"mouse"))</f>
        <v>0</v>
      </c>
      <c r="AB525">
        <f>AND(IF(metadata!H525="",FALSE,TRUE),exact(metadata!H525,"Mus musculus"))</f>
        <v>0</v>
      </c>
      <c r="AC525">
        <f>AND(IF(metadata!I525="",FALSE,TRUE),exact(metadata!I525,"10090"))</f>
        <v>0</v>
      </c>
      <c r="AD525">
        <f>OR(AND(IF(metadata!J525="",FALSE,TRUE),OR(exact(metadata!J525,"not applicable"),exact(metadata!J525,"missing: not collected"),exact(metadata!J525,"missing: not provided"),exact(metadata!J525,"missing: restricted access"))),AND(IF(metadata!J525="",FALSE,ISNUMBER(VALUE(metadata!J525))),metadata!J525&gt;0))</f>
        <v>0</v>
      </c>
      <c r="AE525">
        <f>AND(IF(metadata!K525="",FALSE,TRUE),exact(metadata!K525,"g"))</f>
        <v>0</v>
      </c>
    </row>
    <row r="526" spans="1:31">
      <c r="A526" s="5">
        <f>IF(B526=" "," ",HYPERLINK(CONCATENATE("#metadata!",ADDRESS(INDEX($Q$2:$Q$1001,MATCH(ROWS($O$2:O526),$O$2:$O$1001,0),0),1)),INDEX($T$2:$T$1001,MATCH(ROWS($O$2:O526),$O$2:$O$1001,0),0)))</f>
        <v>0</v>
      </c>
      <c r="B526" s="4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4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4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4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4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4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4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4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4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4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OR(AND(IF(metadata!C526="",FALSE,TRUE),OR(exact(metadata!C526,"not applicable"),exact(metadata!C526,"missing: not collected"),exact(metadata!C526,"missing: not provided"),exact(metadata!C526,"missing: restricted access"))),AND(IF(metadata!C526="",FALSE,ISNUMBER(VALUE(metadata!C526))),metadata!C526&gt;0))</f>
        <v>0</v>
      </c>
      <c r="X526">
        <f>AND(IF(metadata!D526="",FALSE,TRUE),exact(metadata!D526,"weeks"))</f>
        <v>0</v>
      </c>
      <c r="Y526">
        <f>AND(IF(metadata!E526="",FALSE,TRUE),exact(metadata!E526,"urban biome"))</f>
        <v>0</v>
      </c>
      <c r="Z526">
        <f>AND(IF(metadata!F526="",FALSE,TRUE),exact(metadata!F526,"animal-associated habitat"))</f>
        <v>0</v>
      </c>
      <c r="AA526">
        <f>AND(IF(metadata!G526="",FALSE,TRUE),exact(metadata!G526,"mouse"))</f>
        <v>0</v>
      </c>
      <c r="AB526">
        <f>AND(IF(metadata!H526="",FALSE,TRUE),exact(metadata!H526,"Mus musculus"))</f>
        <v>0</v>
      </c>
      <c r="AC526">
        <f>AND(IF(metadata!I526="",FALSE,TRUE),exact(metadata!I526,"10090"))</f>
        <v>0</v>
      </c>
      <c r="AD526">
        <f>OR(AND(IF(metadata!J526="",FALSE,TRUE),OR(exact(metadata!J526,"not applicable"),exact(metadata!J526,"missing: not collected"),exact(metadata!J526,"missing: not provided"),exact(metadata!J526,"missing: restricted access"))),AND(IF(metadata!J526="",FALSE,ISNUMBER(VALUE(metadata!J526))),metadata!J526&gt;0))</f>
        <v>0</v>
      </c>
      <c r="AE526">
        <f>AND(IF(metadata!K526="",FALSE,TRUE),exact(metadata!K526,"g"))</f>
        <v>0</v>
      </c>
    </row>
    <row r="527" spans="1:31">
      <c r="A527" s="5">
        <f>IF(B527=" "," ",HYPERLINK(CONCATENATE("#metadata!",ADDRESS(INDEX($Q$2:$Q$1001,MATCH(ROWS($O$2:O527),$O$2:$O$1001,0),0),1)),INDEX($T$2:$T$1001,MATCH(ROWS($O$2:O527),$O$2:$O$1001,0),0)))</f>
        <v>0</v>
      </c>
      <c r="B527" s="4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4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4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4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4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4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4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4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4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4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OR(AND(IF(metadata!C527="",FALSE,TRUE),OR(exact(metadata!C527,"not applicable"),exact(metadata!C527,"missing: not collected"),exact(metadata!C527,"missing: not provided"),exact(metadata!C527,"missing: restricted access"))),AND(IF(metadata!C527="",FALSE,ISNUMBER(VALUE(metadata!C527))),metadata!C527&gt;0))</f>
        <v>0</v>
      </c>
      <c r="X527">
        <f>AND(IF(metadata!D527="",FALSE,TRUE),exact(metadata!D527,"weeks"))</f>
        <v>0</v>
      </c>
      <c r="Y527">
        <f>AND(IF(metadata!E527="",FALSE,TRUE),exact(metadata!E527,"urban biome"))</f>
        <v>0</v>
      </c>
      <c r="Z527">
        <f>AND(IF(metadata!F527="",FALSE,TRUE),exact(metadata!F527,"animal-associated habitat"))</f>
        <v>0</v>
      </c>
      <c r="AA527">
        <f>AND(IF(metadata!G527="",FALSE,TRUE),exact(metadata!G527,"mouse"))</f>
        <v>0</v>
      </c>
      <c r="AB527">
        <f>AND(IF(metadata!H527="",FALSE,TRUE),exact(metadata!H527,"Mus musculus"))</f>
        <v>0</v>
      </c>
      <c r="AC527">
        <f>AND(IF(metadata!I527="",FALSE,TRUE),exact(metadata!I527,"10090"))</f>
        <v>0</v>
      </c>
      <c r="AD527">
        <f>OR(AND(IF(metadata!J527="",FALSE,TRUE),OR(exact(metadata!J527,"not applicable"),exact(metadata!J527,"missing: not collected"),exact(metadata!J527,"missing: not provided"),exact(metadata!J527,"missing: restricted access"))),AND(IF(metadata!J527="",FALSE,ISNUMBER(VALUE(metadata!J527))),metadata!J527&gt;0))</f>
        <v>0</v>
      </c>
      <c r="AE527">
        <f>AND(IF(metadata!K527="",FALSE,TRUE),exact(metadata!K527,"g"))</f>
        <v>0</v>
      </c>
    </row>
    <row r="528" spans="1:31">
      <c r="A528" s="5">
        <f>IF(B528=" "," ",HYPERLINK(CONCATENATE("#metadata!",ADDRESS(INDEX($Q$2:$Q$1001,MATCH(ROWS($O$2:O528),$O$2:$O$1001,0),0),1)),INDEX($T$2:$T$1001,MATCH(ROWS($O$2:O528),$O$2:$O$1001,0),0)))</f>
        <v>0</v>
      </c>
      <c r="B528" s="4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4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4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4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4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4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4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4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4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4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OR(AND(IF(metadata!C528="",FALSE,TRUE),OR(exact(metadata!C528,"not applicable"),exact(metadata!C528,"missing: not collected"),exact(metadata!C528,"missing: not provided"),exact(metadata!C528,"missing: restricted access"))),AND(IF(metadata!C528="",FALSE,ISNUMBER(VALUE(metadata!C528))),metadata!C528&gt;0))</f>
        <v>0</v>
      </c>
      <c r="X528">
        <f>AND(IF(metadata!D528="",FALSE,TRUE),exact(metadata!D528,"weeks"))</f>
        <v>0</v>
      </c>
      <c r="Y528">
        <f>AND(IF(metadata!E528="",FALSE,TRUE),exact(metadata!E528,"urban biome"))</f>
        <v>0</v>
      </c>
      <c r="Z528">
        <f>AND(IF(metadata!F528="",FALSE,TRUE),exact(metadata!F528,"animal-associated habitat"))</f>
        <v>0</v>
      </c>
      <c r="AA528">
        <f>AND(IF(metadata!G528="",FALSE,TRUE),exact(metadata!G528,"mouse"))</f>
        <v>0</v>
      </c>
      <c r="AB528">
        <f>AND(IF(metadata!H528="",FALSE,TRUE),exact(metadata!H528,"Mus musculus"))</f>
        <v>0</v>
      </c>
      <c r="AC528">
        <f>AND(IF(metadata!I528="",FALSE,TRUE),exact(metadata!I528,"10090"))</f>
        <v>0</v>
      </c>
      <c r="AD528">
        <f>OR(AND(IF(metadata!J528="",FALSE,TRUE),OR(exact(metadata!J528,"not applicable"),exact(metadata!J528,"missing: not collected"),exact(metadata!J528,"missing: not provided"),exact(metadata!J528,"missing: restricted access"))),AND(IF(metadata!J528="",FALSE,ISNUMBER(VALUE(metadata!J528))),metadata!J528&gt;0))</f>
        <v>0</v>
      </c>
      <c r="AE528">
        <f>AND(IF(metadata!K528="",FALSE,TRUE),exact(metadata!K528,"g"))</f>
        <v>0</v>
      </c>
    </row>
    <row r="529" spans="1:31">
      <c r="A529" s="5">
        <f>IF(B529=" "," ",HYPERLINK(CONCATENATE("#metadata!",ADDRESS(INDEX($Q$2:$Q$1001,MATCH(ROWS($O$2:O529),$O$2:$O$1001,0),0),1)),INDEX($T$2:$T$1001,MATCH(ROWS($O$2:O529),$O$2:$O$1001,0),0)))</f>
        <v>0</v>
      </c>
      <c r="B529" s="4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4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4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4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4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4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4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4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4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4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OR(AND(IF(metadata!C529="",FALSE,TRUE),OR(exact(metadata!C529,"not applicable"),exact(metadata!C529,"missing: not collected"),exact(metadata!C529,"missing: not provided"),exact(metadata!C529,"missing: restricted access"))),AND(IF(metadata!C529="",FALSE,ISNUMBER(VALUE(metadata!C529))),metadata!C529&gt;0))</f>
        <v>0</v>
      </c>
      <c r="X529">
        <f>AND(IF(metadata!D529="",FALSE,TRUE),exact(metadata!D529,"weeks"))</f>
        <v>0</v>
      </c>
      <c r="Y529">
        <f>AND(IF(metadata!E529="",FALSE,TRUE),exact(metadata!E529,"urban biome"))</f>
        <v>0</v>
      </c>
      <c r="Z529">
        <f>AND(IF(metadata!F529="",FALSE,TRUE),exact(metadata!F529,"animal-associated habitat"))</f>
        <v>0</v>
      </c>
      <c r="AA529">
        <f>AND(IF(metadata!G529="",FALSE,TRUE),exact(metadata!G529,"mouse"))</f>
        <v>0</v>
      </c>
      <c r="AB529">
        <f>AND(IF(metadata!H529="",FALSE,TRUE),exact(metadata!H529,"Mus musculus"))</f>
        <v>0</v>
      </c>
      <c r="AC529">
        <f>AND(IF(metadata!I529="",FALSE,TRUE),exact(metadata!I529,"10090"))</f>
        <v>0</v>
      </c>
      <c r="AD529">
        <f>OR(AND(IF(metadata!J529="",FALSE,TRUE),OR(exact(metadata!J529,"not applicable"),exact(metadata!J529,"missing: not collected"),exact(metadata!J529,"missing: not provided"),exact(metadata!J529,"missing: restricted access"))),AND(IF(metadata!J529="",FALSE,ISNUMBER(VALUE(metadata!J529))),metadata!J529&gt;0))</f>
        <v>0</v>
      </c>
      <c r="AE529">
        <f>AND(IF(metadata!K529="",FALSE,TRUE),exact(metadata!K529,"g"))</f>
        <v>0</v>
      </c>
    </row>
    <row r="530" spans="1:31">
      <c r="A530" s="5">
        <f>IF(B530=" "," ",HYPERLINK(CONCATENATE("#metadata!",ADDRESS(INDEX($Q$2:$Q$1001,MATCH(ROWS($O$2:O530),$O$2:$O$1001,0),0),1)),INDEX($T$2:$T$1001,MATCH(ROWS($O$2:O530),$O$2:$O$1001,0),0)))</f>
        <v>0</v>
      </c>
      <c r="B530" s="4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4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4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4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4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4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4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4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4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4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OR(AND(IF(metadata!C530="",FALSE,TRUE),OR(exact(metadata!C530,"not applicable"),exact(metadata!C530,"missing: not collected"),exact(metadata!C530,"missing: not provided"),exact(metadata!C530,"missing: restricted access"))),AND(IF(metadata!C530="",FALSE,ISNUMBER(VALUE(metadata!C530))),metadata!C530&gt;0))</f>
        <v>0</v>
      </c>
      <c r="X530">
        <f>AND(IF(metadata!D530="",FALSE,TRUE),exact(metadata!D530,"weeks"))</f>
        <v>0</v>
      </c>
      <c r="Y530">
        <f>AND(IF(metadata!E530="",FALSE,TRUE),exact(metadata!E530,"urban biome"))</f>
        <v>0</v>
      </c>
      <c r="Z530">
        <f>AND(IF(metadata!F530="",FALSE,TRUE),exact(metadata!F530,"animal-associated habitat"))</f>
        <v>0</v>
      </c>
      <c r="AA530">
        <f>AND(IF(metadata!G530="",FALSE,TRUE),exact(metadata!G530,"mouse"))</f>
        <v>0</v>
      </c>
      <c r="AB530">
        <f>AND(IF(metadata!H530="",FALSE,TRUE),exact(metadata!H530,"Mus musculus"))</f>
        <v>0</v>
      </c>
      <c r="AC530">
        <f>AND(IF(metadata!I530="",FALSE,TRUE),exact(metadata!I530,"10090"))</f>
        <v>0</v>
      </c>
      <c r="AD530">
        <f>OR(AND(IF(metadata!J530="",FALSE,TRUE),OR(exact(metadata!J530,"not applicable"),exact(metadata!J530,"missing: not collected"),exact(metadata!J530,"missing: not provided"),exact(metadata!J530,"missing: restricted access"))),AND(IF(metadata!J530="",FALSE,ISNUMBER(VALUE(metadata!J530))),metadata!J530&gt;0))</f>
        <v>0</v>
      </c>
      <c r="AE530">
        <f>AND(IF(metadata!K530="",FALSE,TRUE),exact(metadata!K530,"g"))</f>
        <v>0</v>
      </c>
    </row>
    <row r="531" spans="1:31">
      <c r="A531" s="5">
        <f>IF(B531=" "," ",HYPERLINK(CONCATENATE("#metadata!",ADDRESS(INDEX($Q$2:$Q$1001,MATCH(ROWS($O$2:O531),$O$2:$O$1001,0),0),1)),INDEX($T$2:$T$1001,MATCH(ROWS($O$2:O531),$O$2:$O$1001,0),0)))</f>
        <v>0</v>
      </c>
      <c r="B531" s="4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4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4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4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4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4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4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4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4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4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OR(AND(IF(metadata!C531="",FALSE,TRUE),OR(exact(metadata!C531,"not applicable"),exact(metadata!C531,"missing: not collected"),exact(metadata!C531,"missing: not provided"),exact(metadata!C531,"missing: restricted access"))),AND(IF(metadata!C531="",FALSE,ISNUMBER(VALUE(metadata!C531))),metadata!C531&gt;0))</f>
        <v>0</v>
      </c>
      <c r="X531">
        <f>AND(IF(metadata!D531="",FALSE,TRUE),exact(metadata!D531,"weeks"))</f>
        <v>0</v>
      </c>
      <c r="Y531">
        <f>AND(IF(metadata!E531="",FALSE,TRUE),exact(metadata!E531,"urban biome"))</f>
        <v>0</v>
      </c>
      <c r="Z531">
        <f>AND(IF(metadata!F531="",FALSE,TRUE),exact(metadata!F531,"animal-associated habitat"))</f>
        <v>0</v>
      </c>
      <c r="AA531">
        <f>AND(IF(metadata!G531="",FALSE,TRUE),exact(metadata!G531,"mouse"))</f>
        <v>0</v>
      </c>
      <c r="AB531">
        <f>AND(IF(metadata!H531="",FALSE,TRUE),exact(metadata!H531,"Mus musculus"))</f>
        <v>0</v>
      </c>
      <c r="AC531">
        <f>AND(IF(metadata!I531="",FALSE,TRUE),exact(metadata!I531,"10090"))</f>
        <v>0</v>
      </c>
      <c r="AD531">
        <f>OR(AND(IF(metadata!J531="",FALSE,TRUE),OR(exact(metadata!J531,"not applicable"),exact(metadata!J531,"missing: not collected"),exact(metadata!J531,"missing: not provided"),exact(metadata!J531,"missing: restricted access"))),AND(IF(metadata!J531="",FALSE,ISNUMBER(VALUE(metadata!J531))),metadata!J531&gt;0))</f>
        <v>0</v>
      </c>
      <c r="AE531">
        <f>AND(IF(metadata!K531="",FALSE,TRUE),exact(metadata!K531,"g"))</f>
        <v>0</v>
      </c>
    </row>
    <row r="532" spans="1:31">
      <c r="A532" s="5">
        <f>IF(B532=" "," ",HYPERLINK(CONCATENATE("#metadata!",ADDRESS(INDEX($Q$2:$Q$1001,MATCH(ROWS($O$2:O532),$O$2:$O$1001,0),0),1)),INDEX($T$2:$T$1001,MATCH(ROWS($O$2:O532),$O$2:$O$1001,0),0)))</f>
        <v>0</v>
      </c>
      <c r="B532" s="4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4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4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4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4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4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4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4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4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4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OR(AND(IF(metadata!C532="",FALSE,TRUE),OR(exact(metadata!C532,"not applicable"),exact(metadata!C532,"missing: not collected"),exact(metadata!C532,"missing: not provided"),exact(metadata!C532,"missing: restricted access"))),AND(IF(metadata!C532="",FALSE,ISNUMBER(VALUE(metadata!C532))),metadata!C532&gt;0))</f>
        <v>0</v>
      </c>
      <c r="X532">
        <f>AND(IF(metadata!D532="",FALSE,TRUE),exact(metadata!D532,"weeks"))</f>
        <v>0</v>
      </c>
      <c r="Y532">
        <f>AND(IF(metadata!E532="",FALSE,TRUE),exact(metadata!E532,"urban biome"))</f>
        <v>0</v>
      </c>
      <c r="Z532">
        <f>AND(IF(metadata!F532="",FALSE,TRUE),exact(metadata!F532,"animal-associated habitat"))</f>
        <v>0</v>
      </c>
      <c r="AA532">
        <f>AND(IF(metadata!G532="",FALSE,TRUE),exact(metadata!G532,"mouse"))</f>
        <v>0</v>
      </c>
      <c r="AB532">
        <f>AND(IF(metadata!H532="",FALSE,TRUE),exact(metadata!H532,"Mus musculus"))</f>
        <v>0</v>
      </c>
      <c r="AC532">
        <f>AND(IF(metadata!I532="",FALSE,TRUE),exact(metadata!I532,"10090"))</f>
        <v>0</v>
      </c>
      <c r="AD532">
        <f>OR(AND(IF(metadata!J532="",FALSE,TRUE),OR(exact(metadata!J532,"not applicable"),exact(metadata!J532,"missing: not collected"),exact(metadata!J532,"missing: not provided"),exact(metadata!J532,"missing: restricted access"))),AND(IF(metadata!J532="",FALSE,ISNUMBER(VALUE(metadata!J532))),metadata!J532&gt;0))</f>
        <v>0</v>
      </c>
      <c r="AE532">
        <f>AND(IF(metadata!K532="",FALSE,TRUE),exact(metadata!K532,"g"))</f>
        <v>0</v>
      </c>
    </row>
    <row r="533" spans="1:31">
      <c r="A533" s="5">
        <f>IF(B533=" "," ",HYPERLINK(CONCATENATE("#metadata!",ADDRESS(INDEX($Q$2:$Q$1001,MATCH(ROWS($O$2:O533),$O$2:$O$1001,0),0),1)),INDEX($T$2:$T$1001,MATCH(ROWS($O$2:O533),$O$2:$O$1001,0),0)))</f>
        <v>0</v>
      </c>
      <c r="B533" s="4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4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4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4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4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4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4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4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4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4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OR(AND(IF(metadata!C533="",FALSE,TRUE),OR(exact(metadata!C533,"not applicable"),exact(metadata!C533,"missing: not collected"),exact(metadata!C533,"missing: not provided"),exact(metadata!C533,"missing: restricted access"))),AND(IF(metadata!C533="",FALSE,ISNUMBER(VALUE(metadata!C533))),metadata!C533&gt;0))</f>
        <v>0</v>
      </c>
      <c r="X533">
        <f>AND(IF(metadata!D533="",FALSE,TRUE),exact(metadata!D533,"weeks"))</f>
        <v>0</v>
      </c>
      <c r="Y533">
        <f>AND(IF(metadata!E533="",FALSE,TRUE),exact(metadata!E533,"urban biome"))</f>
        <v>0</v>
      </c>
      <c r="Z533">
        <f>AND(IF(metadata!F533="",FALSE,TRUE),exact(metadata!F533,"animal-associated habitat"))</f>
        <v>0</v>
      </c>
      <c r="AA533">
        <f>AND(IF(metadata!G533="",FALSE,TRUE),exact(metadata!G533,"mouse"))</f>
        <v>0</v>
      </c>
      <c r="AB533">
        <f>AND(IF(metadata!H533="",FALSE,TRUE),exact(metadata!H533,"Mus musculus"))</f>
        <v>0</v>
      </c>
      <c r="AC533">
        <f>AND(IF(metadata!I533="",FALSE,TRUE),exact(metadata!I533,"10090"))</f>
        <v>0</v>
      </c>
      <c r="AD533">
        <f>OR(AND(IF(metadata!J533="",FALSE,TRUE),OR(exact(metadata!J533,"not applicable"),exact(metadata!J533,"missing: not collected"),exact(metadata!J533,"missing: not provided"),exact(metadata!J533,"missing: restricted access"))),AND(IF(metadata!J533="",FALSE,ISNUMBER(VALUE(metadata!J533))),metadata!J533&gt;0))</f>
        <v>0</v>
      </c>
      <c r="AE533">
        <f>AND(IF(metadata!K533="",FALSE,TRUE),exact(metadata!K533,"g"))</f>
        <v>0</v>
      </c>
    </row>
    <row r="534" spans="1:31">
      <c r="A534" s="5">
        <f>IF(B534=" "," ",HYPERLINK(CONCATENATE("#metadata!",ADDRESS(INDEX($Q$2:$Q$1001,MATCH(ROWS($O$2:O534),$O$2:$O$1001,0),0),1)),INDEX($T$2:$T$1001,MATCH(ROWS($O$2:O534),$O$2:$O$1001,0),0)))</f>
        <v>0</v>
      </c>
      <c r="B534" s="4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4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4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4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4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4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4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4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4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4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OR(AND(IF(metadata!C534="",FALSE,TRUE),OR(exact(metadata!C534,"not applicable"),exact(metadata!C534,"missing: not collected"),exact(metadata!C534,"missing: not provided"),exact(metadata!C534,"missing: restricted access"))),AND(IF(metadata!C534="",FALSE,ISNUMBER(VALUE(metadata!C534))),metadata!C534&gt;0))</f>
        <v>0</v>
      </c>
      <c r="X534">
        <f>AND(IF(metadata!D534="",FALSE,TRUE),exact(metadata!D534,"weeks"))</f>
        <v>0</v>
      </c>
      <c r="Y534">
        <f>AND(IF(metadata!E534="",FALSE,TRUE),exact(metadata!E534,"urban biome"))</f>
        <v>0</v>
      </c>
      <c r="Z534">
        <f>AND(IF(metadata!F534="",FALSE,TRUE),exact(metadata!F534,"animal-associated habitat"))</f>
        <v>0</v>
      </c>
      <c r="AA534">
        <f>AND(IF(metadata!G534="",FALSE,TRUE),exact(metadata!G534,"mouse"))</f>
        <v>0</v>
      </c>
      <c r="AB534">
        <f>AND(IF(metadata!H534="",FALSE,TRUE),exact(metadata!H534,"Mus musculus"))</f>
        <v>0</v>
      </c>
      <c r="AC534">
        <f>AND(IF(metadata!I534="",FALSE,TRUE),exact(metadata!I534,"10090"))</f>
        <v>0</v>
      </c>
      <c r="AD534">
        <f>OR(AND(IF(metadata!J534="",FALSE,TRUE),OR(exact(metadata!J534,"not applicable"),exact(metadata!J534,"missing: not collected"),exact(metadata!J534,"missing: not provided"),exact(metadata!J534,"missing: restricted access"))),AND(IF(metadata!J534="",FALSE,ISNUMBER(VALUE(metadata!J534))),metadata!J534&gt;0))</f>
        <v>0</v>
      </c>
      <c r="AE534">
        <f>AND(IF(metadata!K534="",FALSE,TRUE),exact(metadata!K534,"g"))</f>
        <v>0</v>
      </c>
    </row>
    <row r="535" spans="1:31">
      <c r="A535" s="5">
        <f>IF(B535=" "," ",HYPERLINK(CONCATENATE("#metadata!",ADDRESS(INDEX($Q$2:$Q$1001,MATCH(ROWS($O$2:O535),$O$2:$O$1001,0),0),1)),INDEX($T$2:$T$1001,MATCH(ROWS($O$2:O535),$O$2:$O$1001,0),0)))</f>
        <v>0</v>
      </c>
      <c r="B535" s="4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4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4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4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4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4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4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4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4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4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OR(AND(IF(metadata!C535="",FALSE,TRUE),OR(exact(metadata!C535,"not applicable"),exact(metadata!C535,"missing: not collected"),exact(metadata!C535,"missing: not provided"),exact(metadata!C535,"missing: restricted access"))),AND(IF(metadata!C535="",FALSE,ISNUMBER(VALUE(metadata!C535))),metadata!C535&gt;0))</f>
        <v>0</v>
      </c>
      <c r="X535">
        <f>AND(IF(metadata!D535="",FALSE,TRUE),exact(metadata!D535,"weeks"))</f>
        <v>0</v>
      </c>
      <c r="Y535">
        <f>AND(IF(metadata!E535="",FALSE,TRUE),exact(metadata!E535,"urban biome"))</f>
        <v>0</v>
      </c>
      <c r="Z535">
        <f>AND(IF(metadata!F535="",FALSE,TRUE),exact(metadata!F535,"animal-associated habitat"))</f>
        <v>0</v>
      </c>
      <c r="AA535">
        <f>AND(IF(metadata!G535="",FALSE,TRUE),exact(metadata!G535,"mouse"))</f>
        <v>0</v>
      </c>
      <c r="AB535">
        <f>AND(IF(metadata!H535="",FALSE,TRUE),exact(metadata!H535,"Mus musculus"))</f>
        <v>0</v>
      </c>
      <c r="AC535">
        <f>AND(IF(metadata!I535="",FALSE,TRUE),exact(metadata!I535,"10090"))</f>
        <v>0</v>
      </c>
      <c r="AD535">
        <f>OR(AND(IF(metadata!J535="",FALSE,TRUE),OR(exact(metadata!J535,"not applicable"),exact(metadata!J535,"missing: not collected"),exact(metadata!J535,"missing: not provided"),exact(metadata!J535,"missing: restricted access"))),AND(IF(metadata!J535="",FALSE,ISNUMBER(VALUE(metadata!J535))),metadata!J535&gt;0))</f>
        <v>0</v>
      </c>
      <c r="AE535">
        <f>AND(IF(metadata!K535="",FALSE,TRUE),exact(metadata!K535,"g"))</f>
        <v>0</v>
      </c>
    </row>
    <row r="536" spans="1:31">
      <c r="A536" s="5">
        <f>IF(B536=" "," ",HYPERLINK(CONCATENATE("#metadata!",ADDRESS(INDEX($Q$2:$Q$1001,MATCH(ROWS($O$2:O536),$O$2:$O$1001,0),0),1)),INDEX($T$2:$T$1001,MATCH(ROWS($O$2:O536),$O$2:$O$1001,0),0)))</f>
        <v>0</v>
      </c>
      <c r="B536" s="4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4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4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4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4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4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4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4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4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4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OR(AND(IF(metadata!C536="",FALSE,TRUE),OR(exact(metadata!C536,"not applicable"),exact(metadata!C536,"missing: not collected"),exact(metadata!C536,"missing: not provided"),exact(metadata!C536,"missing: restricted access"))),AND(IF(metadata!C536="",FALSE,ISNUMBER(VALUE(metadata!C536))),metadata!C536&gt;0))</f>
        <v>0</v>
      </c>
      <c r="X536">
        <f>AND(IF(metadata!D536="",FALSE,TRUE),exact(metadata!D536,"weeks"))</f>
        <v>0</v>
      </c>
      <c r="Y536">
        <f>AND(IF(metadata!E536="",FALSE,TRUE),exact(metadata!E536,"urban biome"))</f>
        <v>0</v>
      </c>
      <c r="Z536">
        <f>AND(IF(metadata!F536="",FALSE,TRUE),exact(metadata!F536,"animal-associated habitat"))</f>
        <v>0</v>
      </c>
      <c r="AA536">
        <f>AND(IF(metadata!G536="",FALSE,TRUE),exact(metadata!G536,"mouse"))</f>
        <v>0</v>
      </c>
      <c r="AB536">
        <f>AND(IF(metadata!H536="",FALSE,TRUE),exact(metadata!H536,"Mus musculus"))</f>
        <v>0</v>
      </c>
      <c r="AC536">
        <f>AND(IF(metadata!I536="",FALSE,TRUE),exact(metadata!I536,"10090"))</f>
        <v>0</v>
      </c>
      <c r="AD536">
        <f>OR(AND(IF(metadata!J536="",FALSE,TRUE),OR(exact(metadata!J536,"not applicable"),exact(metadata!J536,"missing: not collected"),exact(metadata!J536,"missing: not provided"),exact(metadata!J536,"missing: restricted access"))),AND(IF(metadata!J536="",FALSE,ISNUMBER(VALUE(metadata!J536))),metadata!J536&gt;0))</f>
        <v>0</v>
      </c>
      <c r="AE536">
        <f>AND(IF(metadata!K536="",FALSE,TRUE),exact(metadata!K536,"g"))</f>
        <v>0</v>
      </c>
    </row>
    <row r="537" spans="1:31">
      <c r="A537" s="5">
        <f>IF(B537=" "," ",HYPERLINK(CONCATENATE("#metadata!",ADDRESS(INDEX($Q$2:$Q$1001,MATCH(ROWS($O$2:O537),$O$2:$O$1001,0),0),1)),INDEX($T$2:$T$1001,MATCH(ROWS($O$2:O537),$O$2:$O$1001,0),0)))</f>
        <v>0</v>
      </c>
      <c r="B537" s="4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4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4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4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4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4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4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4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4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4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OR(AND(IF(metadata!C537="",FALSE,TRUE),OR(exact(metadata!C537,"not applicable"),exact(metadata!C537,"missing: not collected"),exact(metadata!C537,"missing: not provided"),exact(metadata!C537,"missing: restricted access"))),AND(IF(metadata!C537="",FALSE,ISNUMBER(VALUE(metadata!C537))),metadata!C537&gt;0))</f>
        <v>0</v>
      </c>
      <c r="X537">
        <f>AND(IF(metadata!D537="",FALSE,TRUE),exact(metadata!D537,"weeks"))</f>
        <v>0</v>
      </c>
      <c r="Y537">
        <f>AND(IF(metadata!E537="",FALSE,TRUE),exact(metadata!E537,"urban biome"))</f>
        <v>0</v>
      </c>
      <c r="Z537">
        <f>AND(IF(metadata!F537="",FALSE,TRUE),exact(metadata!F537,"animal-associated habitat"))</f>
        <v>0</v>
      </c>
      <c r="AA537">
        <f>AND(IF(metadata!G537="",FALSE,TRUE),exact(metadata!G537,"mouse"))</f>
        <v>0</v>
      </c>
      <c r="AB537">
        <f>AND(IF(metadata!H537="",FALSE,TRUE),exact(metadata!H537,"Mus musculus"))</f>
        <v>0</v>
      </c>
      <c r="AC537">
        <f>AND(IF(metadata!I537="",FALSE,TRUE),exact(metadata!I537,"10090"))</f>
        <v>0</v>
      </c>
      <c r="AD537">
        <f>OR(AND(IF(metadata!J537="",FALSE,TRUE),OR(exact(metadata!J537,"not applicable"),exact(metadata!J537,"missing: not collected"),exact(metadata!J537,"missing: not provided"),exact(metadata!J537,"missing: restricted access"))),AND(IF(metadata!J537="",FALSE,ISNUMBER(VALUE(metadata!J537))),metadata!J537&gt;0))</f>
        <v>0</v>
      </c>
      <c r="AE537">
        <f>AND(IF(metadata!K537="",FALSE,TRUE),exact(metadata!K537,"g"))</f>
        <v>0</v>
      </c>
    </row>
    <row r="538" spans="1:31">
      <c r="A538" s="5">
        <f>IF(B538=" "," ",HYPERLINK(CONCATENATE("#metadata!",ADDRESS(INDEX($Q$2:$Q$1001,MATCH(ROWS($O$2:O538),$O$2:$O$1001,0),0),1)),INDEX($T$2:$T$1001,MATCH(ROWS($O$2:O538),$O$2:$O$1001,0),0)))</f>
        <v>0</v>
      </c>
      <c r="B538" s="4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4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4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4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4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4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4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4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4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4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OR(AND(IF(metadata!C538="",FALSE,TRUE),OR(exact(metadata!C538,"not applicable"),exact(metadata!C538,"missing: not collected"),exact(metadata!C538,"missing: not provided"),exact(metadata!C538,"missing: restricted access"))),AND(IF(metadata!C538="",FALSE,ISNUMBER(VALUE(metadata!C538))),metadata!C538&gt;0))</f>
        <v>0</v>
      </c>
      <c r="X538">
        <f>AND(IF(metadata!D538="",FALSE,TRUE),exact(metadata!D538,"weeks"))</f>
        <v>0</v>
      </c>
      <c r="Y538">
        <f>AND(IF(metadata!E538="",FALSE,TRUE),exact(metadata!E538,"urban biome"))</f>
        <v>0</v>
      </c>
      <c r="Z538">
        <f>AND(IF(metadata!F538="",FALSE,TRUE),exact(metadata!F538,"animal-associated habitat"))</f>
        <v>0</v>
      </c>
      <c r="AA538">
        <f>AND(IF(metadata!G538="",FALSE,TRUE),exact(metadata!G538,"mouse"))</f>
        <v>0</v>
      </c>
      <c r="AB538">
        <f>AND(IF(metadata!H538="",FALSE,TRUE),exact(metadata!H538,"Mus musculus"))</f>
        <v>0</v>
      </c>
      <c r="AC538">
        <f>AND(IF(metadata!I538="",FALSE,TRUE),exact(metadata!I538,"10090"))</f>
        <v>0</v>
      </c>
      <c r="AD538">
        <f>OR(AND(IF(metadata!J538="",FALSE,TRUE),OR(exact(metadata!J538,"not applicable"),exact(metadata!J538,"missing: not collected"),exact(metadata!J538,"missing: not provided"),exact(metadata!J538,"missing: restricted access"))),AND(IF(metadata!J538="",FALSE,ISNUMBER(VALUE(metadata!J538))),metadata!J538&gt;0))</f>
        <v>0</v>
      </c>
      <c r="AE538">
        <f>AND(IF(metadata!K538="",FALSE,TRUE),exact(metadata!K538,"g"))</f>
        <v>0</v>
      </c>
    </row>
    <row r="539" spans="1:31">
      <c r="A539" s="5">
        <f>IF(B539=" "," ",HYPERLINK(CONCATENATE("#metadata!",ADDRESS(INDEX($Q$2:$Q$1001,MATCH(ROWS($O$2:O539),$O$2:$O$1001,0),0),1)),INDEX($T$2:$T$1001,MATCH(ROWS($O$2:O539),$O$2:$O$1001,0),0)))</f>
        <v>0</v>
      </c>
      <c r="B539" s="4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4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4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4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4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4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4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4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4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4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OR(AND(IF(metadata!C539="",FALSE,TRUE),OR(exact(metadata!C539,"not applicable"),exact(metadata!C539,"missing: not collected"),exact(metadata!C539,"missing: not provided"),exact(metadata!C539,"missing: restricted access"))),AND(IF(metadata!C539="",FALSE,ISNUMBER(VALUE(metadata!C539))),metadata!C539&gt;0))</f>
        <v>0</v>
      </c>
      <c r="X539">
        <f>AND(IF(metadata!D539="",FALSE,TRUE),exact(metadata!D539,"weeks"))</f>
        <v>0</v>
      </c>
      <c r="Y539">
        <f>AND(IF(metadata!E539="",FALSE,TRUE),exact(metadata!E539,"urban biome"))</f>
        <v>0</v>
      </c>
      <c r="Z539">
        <f>AND(IF(metadata!F539="",FALSE,TRUE),exact(metadata!F539,"animal-associated habitat"))</f>
        <v>0</v>
      </c>
      <c r="AA539">
        <f>AND(IF(metadata!G539="",FALSE,TRUE),exact(metadata!G539,"mouse"))</f>
        <v>0</v>
      </c>
      <c r="AB539">
        <f>AND(IF(metadata!H539="",FALSE,TRUE),exact(metadata!H539,"Mus musculus"))</f>
        <v>0</v>
      </c>
      <c r="AC539">
        <f>AND(IF(metadata!I539="",FALSE,TRUE),exact(metadata!I539,"10090"))</f>
        <v>0</v>
      </c>
      <c r="AD539">
        <f>OR(AND(IF(metadata!J539="",FALSE,TRUE),OR(exact(metadata!J539,"not applicable"),exact(metadata!J539,"missing: not collected"),exact(metadata!J539,"missing: not provided"),exact(metadata!J539,"missing: restricted access"))),AND(IF(metadata!J539="",FALSE,ISNUMBER(VALUE(metadata!J539))),metadata!J539&gt;0))</f>
        <v>0</v>
      </c>
      <c r="AE539">
        <f>AND(IF(metadata!K539="",FALSE,TRUE),exact(metadata!K539,"g"))</f>
        <v>0</v>
      </c>
    </row>
    <row r="540" spans="1:31">
      <c r="A540" s="5">
        <f>IF(B540=" "," ",HYPERLINK(CONCATENATE("#metadata!",ADDRESS(INDEX($Q$2:$Q$1001,MATCH(ROWS($O$2:O540),$O$2:$O$1001,0),0),1)),INDEX($T$2:$T$1001,MATCH(ROWS($O$2:O540),$O$2:$O$1001,0),0)))</f>
        <v>0</v>
      </c>
      <c r="B540" s="4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4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4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4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4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4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4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4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4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4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OR(AND(IF(metadata!C540="",FALSE,TRUE),OR(exact(metadata!C540,"not applicable"),exact(metadata!C540,"missing: not collected"),exact(metadata!C540,"missing: not provided"),exact(metadata!C540,"missing: restricted access"))),AND(IF(metadata!C540="",FALSE,ISNUMBER(VALUE(metadata!C540))),metadata!C540&gt;0))</f>
        <v>0</v>
      </c>
      <c r="X540">
        <f>AND(IF(metadata!D540="",FALSE,TRUE),exact(metadata!D540,"weeks"))</f>
        <v>0</v>
      </c>
      <c r="Y540">
        <f>AND(IF(metadata!E540="",FALSE,TRUE),exact(metadata!E540,"urban biome"))</f>
        <v>0</v>
      </c>
      <c r="Z540">
        <f>AND(IF(metadata!F540="",FALSE,TRUE),exact(metadata!F540,"animal-associated habitat"))</f>
        <v>0</v>
      </c>
      <c r="AA540">
        <f>AND(IF(metadata!G540="",FALSE,TRUE),exact(metadata!G540,"mouse"))</f>
        <v>0</v>
      </c>
      <c r="AB540">
        <f>AND(IF(metadata!H540="",FALSE,TRUE),exact(metadata!H540,"Mus musculus"))</f>
        <v>0</v>
      </c>
      <c r="AC540">
        <f>AND(IF(metadata!I540="",FALSE,TRUE),exact(metadata!I540,"10090"))</f>
        <v>0</v>
      </c>
      <c r="AD540">
        <f>OR(AND(IF(metadata!J540="",FALSE,TRUE),OR(exact(metadata!J540,"not applicable"),exact(metadata!J540,"missing: not collected"),exact(metadata!J540,"missing: not provided"),exact(metadata!J540,"missing: restricted access"))),AND(IF(metadata!J540="",FALSE,ISNUMBER(VALUE(metadata!J540))),metadata!J540&gt;0))</f>
        <v>0</v>
      </c>
      <c r="AE540">
        <f>AND(IF(metadata!K540="",FALSE,TRUE),exact(metadata!K540,"g"))</f>
        <v>0</v>
      </c>
    </row>
    <row r="541" spans="1:31">
      <c r="A541" s="5">
        <f>IF(B541=" "," ",HYPERLINK(CONCATENATE("#metadata!",ADDRESS(INDEX($Q$2:$Q$1001,MATCH(ROWS($O$2:O541),$O$2:$O$1001,0),0),1)),INDEX($T$2:$T$1001,MATCH(ROWS($O$2:O541),$O$2:$O$1001,0),0)))</f>
        <v>0</v>
      </c>
      <c r="B541" s="4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4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4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4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4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4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4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4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4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4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OR(AND(IF(metadata!C541="",FALSE,TRUE),OR(exact(metadata!C541,"not applicable"),exact(metadata!C541,"missing: not collected"),exact(metadata!C541,"missing: not provided"),exact(metadata!C541,"missing: restricted access"))),AND(IF(metadata!C541="",FALSE,ISNUMBER(VALUE(metadata!C541))),metadata!C541&gt;0))</f>
        <v>0</v>
      </c>
      <c r="X541">
        <f>AND(IF(metadata!D541="",FALSE,TRUE),exact(metadata!D541,"weeks"))</f>
        <v>0</v>
      </c>
      <c r="Y541">
        <f>AND(IF(metadata!E541="",FALSE,TRUE),exact(metadata!E541,"urban biome"))</f>
        <v>0</v>
      </c>
      <c r="Z541">
        <f>AND(IF(metadata!F541="",FALSE,TRUE),exact(metadata!F541,"animal-associated habitat"))</f>
        <v>0</v>
      </c>
      <c r="AA541">
        <f>AND(IF(metadata!G541="",FALSE,TRUE),exact(metadata!G541,"mouse"))</f>
        <v>0</v>
      </c>
      <c r="AB541">
        <f>AND(IF(metadata!H541="",FALSE,TRUE),exact(metadata!H541,"Mus musculus"))</f>
        <v>0</v>
      </c>
      <c r="AC541">
        <f>AND(IF(metadata!I541="",FALSE,TRUE),exact(metadata!I541,"10090"))</f>
        <v>0</v>
      </c>
      <c r="AD541">
        <f>OR(AND(IF(metadata!J541="",FALSE,TRUE),OR(exact(metadata!J541,"not applicable"),exact(metadata!J541,"missing: not collected"),exact(metadata!J541,"missing: not provided"),exact(metadata!J541,"missing: restricted access"))),AND(IF(metadata!J541="",FALSE,ISNUMBER(VALUE(metadata!J541))),metadata!J541&gt;0))</f>
        <v>0</v>
      </c>
      <c r="AE541">
        <f>AND(IF(metadata!K541="",FALSE,TRUE),exact(metadata!K541,"g"))</f>
        <v>0</v>
      </c>
    </row>
    <row r="542" spans="1:31">
      <c r="A542" s="5">
        <f>IF(B542=" "," ",HYPERLINK(CONCATENATE("#metadata!",ADDRESS(INDEX($Q$2:$Q$1001,MATCH(ROWS($O$2:O542),$O$2:$O$1001,0),0),1)),INDEX($T$2:$T$1001,MATCH(ROWS($O$2:O542),$O$2:$O$1001,0),0)))</f>
        <v>0</v>
      </c>
      <c r="B542" s="4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4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4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4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4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4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4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4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4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4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OR(AND(IF(metadata!C542="",FALSE,TRUE),OR(exact(metadata!C542,"not applicable"),exact(metadata!C542,"missing: not collected"),exact(metadata!C542,"missing: not provided"),exact(metadata!C542,"missing: restricted access"))),AND(IF(metadata!C542="",FALSE,ISNUMBER(VALUE(metadata!C542))),metadata!C542&gt;0))</f>
        <v>0</v>
      </c>
      <c r="X542">
        <f>AND(IF(metadata!D542="",FALSE,TRUE),exact(metadata!D542,"weeks"))</f>
        <v>0</v>
      </c>
      <c r="Y542">
        <f>AND(IF(metadata!E542="",FALSE,TRUE),exact(metadata!E542,"urban biome"))</f>
        <v>0</v>
      </c>
      <c r="Z542">
        <f>AND(IF(metadata!F542="",FALSE,TRUE),exact(metadata!F542,"animal-associated habitat"))</f>
        <v>0</v>
      </c>
      <c r="AA542">
        <f>AND(IF(metadata!G542="",FALSE,TRUE),exact(metadata!G542,"mouse"))</f>
        <v>0</v>
      </c>
      <c r="AB542">
        <f>AND(IF(metadata!H542="",FALSE,TRUE),exact(metadata!H542,"Mus musculus"))</f>
        <v>0</v>
      </c>
      <c r="AC542">
        <f>AND(IF(metadata!I542="",FALSE,TRUE),exact(metadata!I542,"10090"))</f>
        <v>0</v>
      </c>
      <c r="AD542">
        <f>OR(AND(IF(metadata!J542="",FALSE,TRUE),OR(exact(metadata!J542,"not applicable"),exact(metadata!J542,"missing: not collected"),exact(metadata!J542,"missing: not provided"),exact(metadata!J542,"missing: restricted access"))),AND(IF(metadata!J542="",FALSE,ISNUMBER(VALUE(metadata!J542))),metadata!J542&gt;0))</f>
        <v>0</v>
      </c>
      <c r="AE542">
        <f>AND(IF(metadata!K542="",FALSE,TRUE),exact(metadata!K542,"g"))</f>
        <v>0</v>
      </c>
    </row>
    <row r="543" spans="1:31">
      <c r="A543" s="5">
        <f>IF(B543=" "," ",HYPERLINK(CONCATENATE("#metadata!",ADDRESS(INDEX($Q$2:$Q$1001,MATCH(ROWS($O$2:O543),$O$2:$O$1001,0),0),1)),INDEX($T$2:$T$1001,MATCH(ROWS($O$2:O543),$O$2:$O$1001,0),0)))</f>
        <v>0</v>
      </c>
      <c r="B543" s="4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4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4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4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4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4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4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4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4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4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OR(AND(IF(metadata!C543="",FALSE,TRUE),OR(exact(metadata!C543,"not applicable"),exact(metadata!C543,"missing: not collected"),exact(metadata!C543,"missing: not provided"),exact(metadata!C543,"missing: restricted access"))),AND(IF(metadata!C543="",FALSE,ISNUMBER(VALUE(metadata!C543))),metadata!C543&gt;0))</f>
        <v>0</v>
      </c>
      <c r="X543">
        <f>AND(IF(metadata!D543="",FALSE,TRUE),exact(metadata!D543,"weeks"))</f>
        <v>0</v>
      </c>
      <c r="Y543">
        <f>AND(IF(metadata!E543="",FALSE,TRUE),exact(metadata!E543,"urban biome"))</f>
        <v>0</v>
      </c>
      <c r="Z543">
        <f>AND(IF(metadata!F543="",FALSE,TRUE),exact(metadata!F543,"animal-associated habitat"))</f>
        <v>0</v>
      </c>
      <c r="AA543">
        <f>AND(IF(metadata!G543="",FALSE,TRUE),exact(metadata!G543,"mouse"))</f>
        <v>0</v>
      </c>
      <c r="AB543">
        <f>AND(IF(metadata!H543="",FALSE,TRUE),exact(metadata!H543,"Mus musculus"))</f>
        <v>0</v>
      </c>
      <c r="AC543">
        <f>AND(IF(metadata!I543="",FALSE,TRUE),exact(metadata!I543,"10090"))</f>
        <v>0</v>
      </c>
      <c r="AD543">
        <f>OR(AND(IF(metadata!J543="",FALSE,TRUE),OR(exact(metadata!J543,"not applicable"),exact(metadata!J543,"missing: not collected"),exact(metadata!J543,"missing: not provided"),exact(metadata!J543,"missing: restricted access"))),AND(IF(metadata!J543="",FALSE,ISNUMBER(VALUE(metadata!J543))),metadata!J543&gt;0))</f>
        <v>0</v>
      </c>
      <c r="AE543">
        <f>AND(IF(metadata!K543="",FALSE,TRUE),exact(metadata!K543,"g"))</f>
        <v>0</v>
      </c>
    </row>
    <row r="544" spans="1:31">
      <c r="A544" s="5">
        <f>IF(B544=" "," ",HYPERLINK(CONCATENATE("#metadata!",ADDRESS(INDEX($Q$2:$Q$1001,MATCH(ROWS($O$2:O544),$O$2:$O$1001,0),0),1)),INDEX($T$2:$T$1001,MATCH(ROWS($O$2:O544),$O$2:$O$1001,0),0)))</f>
        <v>0</v>
      </c>
      <c r="B544" s="4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4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4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4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4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4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4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4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4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4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OR(AND(IF(metadata!C544="",FALSE,TRUE),OR(exact(metadata!C544,"not applicable"),exact(metadata!C544,"missing: not collected"),exact(metadata!C544,"missing: not provided"),exact(metadata!C544,"missing: restricted access"))),AND(IF(metadata!C544="",FALSE,ISNUMBER(VALUE(metadata!C544))),metadata!C544&gt;0))</f>
        <v>0</v>
      </c>
      <c r="X544">
        <f>AND(IF(metadata!D544="",FALSE,TRUE),exact(metadata!D544,"weeks"))</f>
        <v>0</v>
      </c>
      <c r="Y544">
        <f>AND(IF(metadata!E544="",FALSE,TRUE),exact(metadata!E544,"urban biome"))</f>
        <v>0</v>
      </c>
      <c r="Z544">
        <f>AND(IF(metadata!F544="",FALSE,TRUE),exact(metadata!F544,"animal-associated habitat"))</f>
        <v>0</v>
      </c>
      <c r="AA544">
        <f>AND(IF(metadata!G544="",FALSE,TRUE),exact(metadata!G544,"mouse"))</f>
        <v>0</v>
      </c>
      <c r="AB544">
        <f>AND(IF(metadata!H544="",FALSE,TRUE),exact(metadata!H544,"Mus musculus"))</f>
        <v>0</v>
      </c>
      <c r="AC544">
        <f>AND(IF(metadata!I544="",FALSE,TRUE),exact(metadata!I544,"10090"))</f>
        <v>0</v>
      </c>
      <c r="AD544">
        <f>OR(AND(IF(metadata!J544="",FALSE,TRUE),OR(exact(metadata!J544,"not applicable"),exact(metadata!J544,"missing: not collected"),exact(metadata!J544,"missing: not provided"),exact(metadata!J544,"missing: restricted access"))),AND(IF(metadata!J544="",FALSE,ISNUMBER(VALUE(metadata!J544))),metadata!J544&gt;0))</f>
        <v>0</v>
      </c>
      <c r="AE544">
        <f>AND(IF(metadata!K544="",FALSE,TRUE),exact(metadata!K544,"g"))</f>
        <v>0</v>
      </c>
    </row>
    <row r="545" spans="1:31">
      <c r="A545" s="5">
        <f>IF(B545=" "," ",HYPERLINK(CONCATENATE("#metadata!",ADDRESS(INDEX($Q$2:$Q$1001,MATCH(ROWS($O$2:O545),$O$2:$O$1001,0),0),1)),INDEX($T$2:$T$1001,MATCH(ROWS($O$2:O545),$O$2:$O$1001,0),0)))</f>
        <v>0</v>
      </c>
      <c r="B545" s="4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4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4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4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4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4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4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4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4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4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OR(AND(IF(metadata!C545="",FALSE,TRUE),OR(exact(metadata!C545,"not applicable"),exact(metadata!C545,"missing: not collected"),exact(metadata!C545,"missing: not provided"),exact(metadata!C545,"missing: restricted access"))),AND(IF(metadata!C545="",FALSE,ISNUMBER(VALUE(metadata!C545))),metadata!C545&gt;0))</f>
        <v>0</v>
      </c>
      <c r="X545">
        <f>AND(IF(metadata!D545="",FALSE,TRUE),exact(metadata!D545,"weeks"))</f>
        <v>0</v>
      </c>
      <c r="Y545">
        <f>AND(IF(metadata!E545="",FALSE,TRUE),exact(metadata!E545,"urban biome"))</f>
        <v>0</v>
      </c>
      <c r="Z545">
        <f>AND(IF(metadata!F545="",FALSE,TRUE),exact(metadata!F545,"animal-associated habitat"))</f>
        <v>0</v>
      </c>
      <c r="AA545">
        <f>AND(IF(metadata!G545="",FALSE,TRUE),exact(metadata!G545,"mouse"))</f>
        <v>0</v>
      </c>
      <c r="AB545">
        <f>AND(IF(metadata!H545="",FALSE,TRUE),exact(metadata!H545,"Mus musculus"))</f>
        <v>0</v>
      </c>
      <c r="AC545">
        <f>AND(IF(metadata!I545="",FALSE,TRUE),exact(metadata!I545,"10090"))</f>
        <v>0</v>
      </c>
      <c r="AD545">
        <f>OR(AND(IF(metadata!J545="",FALSE,TRUE),OR(exact(metadata!J545,"not applicable"),exact(metadata!J545,"missing: not collected"),exact(metadata!J545,"missing: not provided"),exact(metadata!J545,"missing: restricted access"))),AND(IF(metadata!J545="",FALSE,ISNUMBER(VALUE(metadata!J545))),metadata!J545&gt;0))</f>
        <v>0</v>
      </c>
      <c r="AE545">
        <f>AND(IF(metadata!K545="",FALSE,TRUE),exact(metadata!K545,"g"))</f>
        <v>0</v>
      </c>
    </row>
    <row r="546" spans="1:31">
      <c r="A546" s="5">
        <f>IF(B546=" "," ",HYPERLINK(CONCATENATE("#metadata!",ADDRESS(INDEX($Q$2:$Q$1001,MATCH(ROWS($O$2:O546),$O$2:$O$1001,0),0),1)),INDEX($T$2:$T$1001,MATCH(ROWS($O$2:O546),$O$2:$O$1001,0),0)))</f>
        <v>0</v>
      </c>
      <c r="B546" s="4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4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4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4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4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4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4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4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4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4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OR(AND(IF(metadata!C546="",FALSE,TRUE),OR(exact(metadata!C546,"not applicable"),exact(metadata!C546,"missing: not collected"),exact(metadata!C546,"missing: not provided"),exact(metadata!C546,"missing: restricted access"))),AND(IF(metadata!C546="",FALSE,ISNUMBER(VALUE(metadata!C546))),metadata!C546&gt;0))</f>
        <v>0</v>
      </c>
      <c r="X546">
        <f>AND(IF(metadata!D546="",FALSE,TRUE),exact(metadata!D546,"weeks"))</f>
        <v>0</v>
      </c>
      <c r="Y546">
        <f>AND(IF(metadata!E546="",FALSE,TRUE),exact(metadata!E546,"urban biome"))</f>
        <v>0</v>
      </c>
      <c r="Z546">
        <f>AND(IF(metadata!F546="",FALSE,TRUE),exact(metadata!F546,"animal-associated habitat"))</f>
        <v>0</v>
      </c>
      <c r="AA546">
        <f>AND(IF(metadata!G546="",FALSE,TRUE),exact(metadata!G546,"mouse"))</f>
        <v>0</v>
      </c>
      <c r="AB546">
        <f>AND(IF(metadata!H546="",FALSE,TRUE),exact(metadata!H546,"Mus musculus"))</f>
        <v>0</v>
      </c>
      <c r="AC546">
        <f>AND(IF(metadata!I546="",FALSE,TRUE),exact(metadata!I546,"10090"))</f>
        <v>0</v>
      </c>
      <c r="AD546">
        <f>OR(AND(IF(metadata!J546="",FALSE,TRUE),OR(exact(metadata!J546,"not applicable"),exact(metadata!J546,"missing: not collected"),exact(metadata!J546,"missing: not provided"),exact(metadata!J546,"missing: restricted access"))),AND(IF(metadata!J546="",FALSE,ISNUMBER(VALUE(metadata!J546))),metadata!J546&gt;0))</f>
        <v>0</v>
      </c>
      <c r="AE546">
        <f>AND(IF(metadata!K546="",FALSE,TRUE),exact(metadata!K546,"g"))</f>
        <v>0</v>
      </c>
    </row>
    <row r="547" spans="1:31">
      <c r="A547" s="5">
        <f>IF(B547=" "," ",HYPERLINK(CONCATENATE("#metadata!",ADDRESS(INDEX($Q$2:$Q$1001,MATCH(ROWS($O$2:O547),$O$2:$O$1001,0),0),1)),INDEX($T$2:$T$1001,MATCH(ROWS($O$2:O547),$O$2:$O$1001,0),0)))</f>
        <v>0</v>
      </c>
      <c r="B547" s="4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4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4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4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4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4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4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4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4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4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OR(AND(IF(metadata!C547="",FALSE,TRUE),OR(exact(metadata!C547,"not applicable"),exact(metadata!C547,"missing: not collected"),exact(metadata!C547,"missing: not provided"),exact(metadata!C547,"missing: restricted access"))),AND(IF(metadata!C547="",FALSE,ISNUMBER(VALUE(metadata!C547))),metadata!C547&gt;0))</f>
        <v>0</v>
      </c>
      <c r="X547">
        <f>AND(IF(metadata!D547="",FALSE,TRUE),exact(metadata!D547,"weeks"))</f>
        <v>0</v>
      </c>
      <c r="Y547">
        <f>AND(IF(metadata!E547="",FALSE,TRUE),exact(metadata!E547,"urban biome"))</f>
        <v>0</v>
      </c>
      <c r="Z547">
        <f>AND(IF(metadata!F547="",FALSE,TRUE),exact(metadata!F547,"animal-associated habitat"))</f>
        <v>0</v>
      </c>
      <c r="AA547">
        <f>AND(IF(metadata!G547="",FALSE,TRUE),exact(metadata!G547,"mouse"))</f>
        <v>0</v>
      </c>
      <c r="AB547">
        <f>AND(IF(metadata!H547="",FALSE,TRUE),exact(metadata!H547,"Mus musculus"))</f>
        <v>0</v>
      </c>
      <c r="AC547">
        <f>AND(IF(metadata!I547="",FALSE,TRUE),exact(metadata!I547,"10090"))</f>
        <v>0</v>
      </c>
      <c r="AD547">
        <f>OR(AND(IF(metadata!J547="",FALSE,TRUE),OR(exact(metadata!J547,"not applicable"),exact(metadata!J547,"missing: not collected"),exact(metadata!J547,"missing: not provided"),exact(metadata!J547,"missing: restricted access"))),AND(IF(metadata!J547="",FALSE,ISNUMBER(VALUE(metadata!J547))),metadata!J547&gt;0))</f>
        <v>0</v>
      </c>
      <c r="AE547">
        <f>AND(IF(metadata!K547="",FALSE,TRUE),exact(metadata!K547,"g"))</f>
        <v>0</v>
      </c>
    </row>
    <row r="548" spans="1:31">
      <c r="A548" s="5">
        <f>IF(B548=" "," ",HYPERLINK(CONCATENATE("#metadata!",ADDRESS(INDEX($Q$2:$Q$1001,MATCH(ROWS($O$2:O548),$O$2:$O$1001,0),0),1)),INDEX($T$2:$T$1001,MATCH(ROWS($O$2:O548),$O$2:$O$1001,0),0)))</f>
        <v>0</v>
      </c>
      <c r="B548" s="4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4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4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4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4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4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4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4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4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4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OR(AND(IF(metadata!C548="",FALSE,TRUE),OR(exact(metadata!C548,"not applicable"),exact(metadata!C548,"missing: not collected"),exact(metadata!C548,"missing: not provided"),exact(metadata!C548,"missing: restricted access"))),AND(IF(metadata!C548="",FALSE,ISNUMBER(VALUE(metadata!C548))),metadata!C548&gt;0))</f>
        <v>0</v>
      </c>
      <c r="X548">
        <f>AND(IF(metadata!D548="",FALSE,TRUE),exact(metadata!D548,"weeks"))</f>
        <v>0</v>
      </c>
      <c r="Y548">
        <f>AND(IF(metadata!E548="",FALSE,TRUE),exact(metadata!E548,"urban biome"))</f>
        <v>0</v>
      </c>
      <c r="Z548">
        <f>AND(IF(metadata!F548="",FALSE,TRUE),exact(metadata!F548,"animal-associated habitat"))</f>
        <v>0</v>
      </c>
      <c r="AA548">
        <f>AND(IF(metadata!G548="",FALSE,TRUE),exact(metadata!G548,"mouse"))</f>
        <v>0</v>
      </c>
      <c r="AB548">
        <f>AND(IF(metadata!H548="",FALSE,TRUE),exact(metadata!H548,"Mus musculus"))</f>
        <v>0</v>
      </c>
      <c r="AC548">
        <f>AND(IF(metadata!I548="",FALSE,TRUE),exact(metadata!I548,"10090"))</f>
        <v>0</v>
      </c>
      <c r="AD548">
        <f>OR(AND(IF(metadata!J548="",FALSE,TRUE),OR(exact(metadata!J548,"not applicable"),exact(metadata!J548,"missing: not collected"),exact(metadata!J548,"missing: not provided"),exact(metadata!J548,"missing: restricted access"))),AND(IF(metadata!J548="",FALSE,ISNUMBER(VALUE(metadata!J548))),metadata!J548&gt;0))</f>
        <v>0</v>
      </c>
      <c r="AE548">
        <f>AND(IF(metadata!K548="",FALSE,TRUE),exact(metadata!K548,"g"))</f>
        <v>0</v>
      </c>
    </row>
    <row r="549" spans="1:31">
      <c r="A549" s="5">
        <f>IF(B549=" "," ",HYPERLINK(CONCATENATE("#metadata!",ADDRESS(INDEX($Q$2:$Q$1001,MATCH(ROWS($O$2:O549),$O$2:$O$1001,0),0),1)),INDEX($T$2:$T$1001,MATCH(ROWS($O$2:O549),$O$2:$O$1001,0),0)))</f>
        <v>0</v>
      </c>
      <c r="B549" s="4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4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4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4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4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4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4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4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4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4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OR(AND(IF(metadata!C549="",FALSE,TRUE),OR(exact(metadata!C549,"not applicable"),exact(metadata!C549,"missing: not collected"),exact(metadata!C549,"missing: not provided"),exact(metadata!C549,"missing: restricted access"))),AND(IF(metadata!C549="",FALSE,ISNUMBER(VALUE(metadata!C549))),metadata!C549&gt;0))</f>
        <v>0</v>
      </c>
      <c r="X549">
        <f>AND(IF(metadata!D549="",FALSE,TRUE),exact(metadata!D549,"weeks"))</f>
        <v>0</v>
      </c>
      <c r="Y549">
        <f>AND(IF(metadata!E549="",FALSE,TRUE),exact(metadata!E549,"urban biome"))</f>
        <v>0</v>
      </c>
      <c r="Z549">
        <f>AND(IF(metadata!F549="",FALSE,TRUE),exact(metadata!F549,"animal-associated habitat"))</f>
        <v>0</v>
      </c>
      <c r="AA549">
        <f>AND(IF(metadata!G549="",FALSE,TRUE),exact(metadata!G549,"mouse"))</f>
        <v>0</v>
      </c>
      <c r="AB549">
        <f>AND(IF(metadata!H549="",FALSE,TRUE),exact(metadata!H549,"Mus musculus"))</f>
        <v>0</v>
      </c>
      <c r="AC549">
        <f>AND(IF(metadata!I549="",FALSE,TRUE),exact(metadata!I549,"10090"))</f>
        <v>0</v>
      </c>
      <c r="AD549">
        <f>OR(AND(IF(metadata!J549="",FALSE,TRUE),OR(exact(metadata!J549,"not applicable"),exact(metadata!J549,"missing: not collected"),exact(metadata!J549,"missing: not provided"),exact(metadata!J549,"missing: restricted access"))),AND(IF(metadata!J549="",FALSE,ISNUMBER(VALUE(metadata!J549))),metadata!J549&gt;0))</f>
        <v>0</v>
      </c>
      <c r="AE549">
        <f>AND(IF(metadata!K549="",FALSE,TRUE),exact(metadata!K549,"g"))</f>
        <v>0</v>
      </c>
    </row>
    <row r="550" spans="1:31">
      <c r="A550" s="5">
        <f>IF(B550=" "," ",HYPERLINK(CONCATENATE("#metadata!",ADDRESS(INDEX($Q$2:$Q$1001,MATCH(ROWS($O$2:O550),$O$2:$O$1001,0),0),1)),INDEX($T$2:$T$1001,MATCH(ROWS($O$2:O550),$O$2:$O$1001,0),0)))</f>
        <v>0</v>
      </c>
      <c r="B550" s="4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4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4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4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4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4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4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4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4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4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OR(AND(IF(metadata!C550="",FALSE,TRUE),OR(exact(metadata!C550,"not applicable"),exact(metadata!C550,"missing: not collected"),exact(metadata!C550,"missing: not provided"),exact(metadata!C550,"missing: restricted access"))),AND(IF(metadata!C550="",FALSE,ISNUMBER(VALUE(metadata!C550))),metadata!C550&gt;0))</f>
        <v>0</v>
      </c>
      <c r="X550">
        <f>AND(IF(metadata!D550="",FALSE,TRUE),exact(metadata!D550,"weeks"))</f>
        <v>0</v>
      </c>
      <c r="Y550">
        <f>AND(IF(metadata!E550="",FALSE,TRUE),exact(metadata!E550,"urban biome"))</f>
        <v>0</v>
      </c>
      <c r="Z550">
        <f>AND(IF(metadata!F550="",FALSE,TRUE),exact(metadata!F550,"animal-associated habitat"))</f>
        <v>0</v>
      </c>
      <c r="AA550">
        <f>AND(IF(metadata!G550="",FALSE,TRUE),exact(metadata!G550,"mouse"))</f>
        <v>0</v>
      </c>
      <c r="AB550">
        <f>AND(IF(metadata!H550="",FALSE,TRUE),exact(metadata!H550,"Mus musculus"))</f>
        <v>0</v>
      </c>
      <c r="AC550">
        <f>AND(IF(metadata!I550="",FALSE,TRUE),exact(metadata!I550,"10090"))</f>
        <v>0</v>
      </c>
      <c r="AD550">
        <f>OR(AND(IF(metadata!J550="",FALSE,TRUE),OR(exact(metadata!J550,"not applicable"),exact(metadata!J550,"missing: not collected"),exact(metadata!J550,"missing: not provided"),exact(metadata!J550,"missing: restricted access"))),AND(IF(metadata!J550="",FALSE,ISNUMBER(VALUE(metadata!J550))),metadata!J550&gt;0))</f>
        <v>0</v>
      </c>
      <c r="AE550">
        <f>AND(IF(metadata!K550="",FALSE,TRUE),exact(metadata!K550,"g"))</f>
        <v>0</v>
      </c>
    </row>
    <row r="551" spans="1:31">
      <c r="A551" s="5">
        <f>IF(B551=" "," ",HYPERLINK(CONCATENATE("#metadata!",ADDRESS(INDEX($Q$2:$Q$1001,MATCH(ROWS($O$2:O551),$O$2:$O$1001,0),0),1)),INDEX($T$2:$T$1001,MATCH(ROWS($O$2:O551),$O$2:$O$1001,0),0)))</f>
        <v>0</v>
      </c>
      <c r="B551" s="4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4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4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4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4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4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4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4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4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4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OR(AND(IF(metadata!C551="",FALSE,TRUE),OR(exact(metadata!C551,"not applicable"),exact(metadata!C551,"missing: not collected"),exact(metadata!C551,"missing: not provided"),exact(metadata!C551,"missing: restricted access"))),AND(IF(metadata!C551="",FALSE,ISNUMBER(VALUE(metadata!C551))),metadata!C551&gt;0))</f>
        <v>0</v>
      </c>
      <c r="X551">
        <f>AND(IF(metadata!D551="",FALSE,TRUE),exact(metadata!D551,"weeks"))</f>
        <v>0</v>
      </c>
      <c r="Y551">
        <f>AND(IF(metadata!E551="",FALSE,TRUE),exact(metadata!E551,"urban biome"))</f>
        <v>0</v>
      </c>
      <c r="Z551">
        <f>AND(IF(metadata!F551="",FALSE,TRUE),exact(metadata!F551,"animal-associated habitat"))</f>
        <v>0</v>
      </c>
      <c r="AA551">
        <f>AND(IF(metadata!G551="",FALSE,TRUE),exact(metadata!G551,"mouse"))</f>
        <v>0</v>
      </c>
      <c r="AB551">
        <f>AND(IF(metadata!H551="",FALSE,TRUE),exact(metadata!H551,"Mus musculus"))</f>
        <v>0</v>
      </c>
      <c r="AC551">
        <f>AND(IF(metadata!I551="",FALSE,TRUE),exact(metadata!I551,"10090"))</f>
        <v>0</v>
      </c>
      <c r="AD551">
        <f>OR(AND(IF(metadata!J551="",FALSE,TRUE),OR(exact(metadata!J551,"not applicable"),exact(metadata!J551,"missing: not collected"),exact(metadata!J551,"missing: not provided"),exact(metadata!J551,"missing: restricted access"))),AND(IF(metadata!J551="",FALSE,ISNUMBER(VALUE(metadata!J551))),metadata!J551&gt;0))</f>
        <v>0</v>
      </c>
      <c r="AE551">
        <f>AND(IF(metadata!K551="",FALSE,TRUE),exact(metadata!K551,"g"))</f>
        <v>0</v>
      </c>
    </row>
    <row r="552" spans="1:31">
      <c r="A552" s="5">
        <f>IF(B552=" "," ",HYPERLINK(CONCATENATE("#metadata!",ADDRESS(INDEX($Q$2:$Q$1001,MATCH(ROWS($O$2:O552),$O$2:$O$1001,0),0),1)),INDEX($T$2:$T$1001,MATCH(ROWS($O$2:O552),$O$2:$O$1001,0),0)))</f>
        <v>0</v>
      </c>
      <c r="B552" s="4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4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4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4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4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4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4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4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4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4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OR(AND(IF(metadata!C552="",FALSE,TRUE),OR(exact(metadata!C552,"not applicable"),exact(metadata!C552,"missing: not collected"),exact(metadata!C552,"missing: not provided"),exact(metadata!C552,"missing: restricted access"))),AND(IF(metadata!C552="",FALSE,ISNUMBER(VALUE(metadata!C552))),metadata!C552&gt;0))</f>
        <v>0</v>
      </c>
      <c r="X552">
        <f>AND(IF(metadata!D552="",FALSE,TRUE),exact(metadata!D552,"weeks"))</f>
        <v>0</v>
      </c>
      <c r="Y552">
        <f>AND(IF(metadata!E552="",FALSE,TRUE),exact(metadata!E552,"urban biome"))</f>
        <v>0</v>
      </c>
      <c r="Z552">
        <f>AND(IF(metadata!F552="",FALSE,TRUE),exact(metadata!F552,"animal-associated habitat"))</f>
        <v>0</v>
      </c>
      <c r="AA552">
        <f>AND(IF(metadata!G552="",FALSE,TRUE),exact(metadata!G552,"mouse"))</f>
        <v>0</v>
      </c>
      <c r="AB552">
        <f>AND(IF(metadata!H552="",FALSE,TRUE),exact(metadata!H552,"Mus musculus"))</f>
        <v>0</v>
      </c>
      <c r="AC552">
        <f>AND(IF(metadata!I552="",FALSE,TRUE),exact(metadata!I552,"10090"))</f>
        <v>0</v>
      </c>
      <c r="AD552">
        <f>OR(AND(IF(metadata!J552="",FALSE,TRUE),OR(exact(metadata!J552,"not applicable"),exact(metadata!J552,"missing: not collected"),exact(metadata!J552,"missing: not provided"),exact(metadata!J552,"missing: restricted access"))),AND(IF(metadata!J552="",FALSE,ISNUMBER(VALUE(metadata!J552))),metadata!J552&gt;0))</f>
        <v>0</v>
      </c>
      <c r="AE552">
        <f>AND(IF(metadata!K552="",FALSE,TRUE),exact(metadata!K552,"g"))</f>
        <v>0</v>
      </c>
    </row>
    <row r="553" spans="1:31">
      <c r="A553" s="5">
        <f>IF(B553=" "," ",HYPERLINK(CONCATENATE("#metadata!",ADDRESS(INDEX($Q$2:$Q$1001,MATCH(ROWS($O$2:O553),$O$2:$O$1001,0),0),1)),INDEX($T$2:$T$1001,MATCH(ROWS($O$2:O553),$O$2:$O$1001,0),0)))</f>
        <v>0</v>
      </c>
      <c r="B553" s="4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4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4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4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4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4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4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4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4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4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OR(AND(IF(metadata!C553="",FALSE,TRUE),OR(exact(metadata!C553,"not applicable"),exact(metadata!C553,"missing: not collected"),exact(metadata!C553,"missing: not provided"),exact(metadata!C553,"missing: restricted access"))),AND(IF(metadata!C553="",FALSE,ISNUMBER(VALUE(metadata!C553))),metadata!C553&gt;0))</f>
        <v>0</v>
      </c>
      <c r="X553">
        <f>AND(IF(metadata!D553="",FALSE,TRUE),exact(metadata!D553,"weeks"))</f>
        <v>0</v>
      </c>
      <c r="Y553">
        <f>AND(IF(metadata!E553="",FALSE,TRUE),exact(metadata!E553,"urban biome"))</f>
        <v>0</v>
      </c>
      <c r="Z553">
        <f>AND(IF(metadata!F553="",FALSE,TRUE),exact(metadata!F553,"animal-associated habitat"))</f>
        <v>0</v>
      </c>
      <c r="AA553">
        <f>AND(IF(metadata!G553="",FALSE,TRUE),exact(metadata!G553,"mouse"))</f>
        <v>0</v>
      </c>
      <c r="AB553">
        <f>AND(IF(metadata!H553="",FALSE,TRUE),exact(metadata!H553,"Mus musculus"))</f>
        <v>0</v>
      </c>
      <c r="AC553">
        <f>AND(IF(metadata!I553="",FALSE,TRUE),exact(metadata!I553,"10090"))</f>
        <v>0</v>
      </c>
      <c r="AD553">
        <f>OR(AND(IF(metadata!J553="",FALSE,TRUE),OR(exact(metadata!J553,"not applicable"),exact(metadata!J553,"missing: not collected"),exact(metadata!J553,"missing: not provided"),exact(metadata!J553,"missing: restricted access"))),AND(IF(metadata!J553="",FALSE,ISNUMBER(VALUE(metadata!J553))),metadata!J553&gt;0))</f>
        <v>0</v>
      </c>
      <c r="AE553">
        <f>AND(IF(metadata!K553="",FALSE,TRUE),exact(metadata!K553,"g"))</f>
        <v>0</v>
      </c>
    </row>
    <row r="554" spans="1:31">
      <c r="A554" s="5">
        <f>IF(B554=" "," ",HYPERLINK(CONCATENATE("#metadata!",ADDRESS(INDEX($Q$2:$Q$1001,MATCH(ROWS($O$2:O554),$O$2:$O$1001,0),0),1)),INDEX($T$2:$T$1001,MATCH(ROWS($O$2:O554),$O$2:$O$1001,0),0)))</f>
        <v>0</v>
      </c>
      <c r="B554" s="4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4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4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4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4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4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4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4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4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4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OR(AND(IF(metadata!C554="",FALSE,TRUE),OR(exact(metadata!C554,"not applicable"),exact(metadata!C554,"missing: not collected"),exact(metadata!C554,"missing: not provided"),exact(metadata!C554,"missing: restricted access"))),AND(IF(metadata!C554="",FALSE,ISNUMBER(VALUE(metadata!C554))),metadata!C554&gt;0))</f>
        <v>0</v>
      </c>
      <c r="X554">
        <f>AND(IF(metadata!D554="",FALSE,TRUE),exact(metadata!D554,"weeks"))</f>
        <v>0</v>
      </c>
      <c r="Y554">
        <f>AND(IF(metadata!E554="",FALSE,TRUE),exact(metadata!E554,"urban biome"))</f>
        <v>0</v>
      </c>
      <c r="Z554">
        <f>AND(IF(metadata!F554="",FALSE,TRUE),exact(metadata!F554,"animal-associated habitat"))</f>
        <v>0</v>
      </c>
      <c r="AA554">
        <f>AND(IF(metadata!G554="",FALSE,TRUE),exact(metadata!G554,"mouse"))</f>
        <v>0</v>
      </c>
      <c r="AB554">
        <f>AND(IF(metadata!H554="",FALSE,TRUE),exact(metadata!H554,"Mus musculus"))</f>
        <v>0</v>
      </c>
      <c r="AC554">
        <f>AND(IF(metadata!I554="",FALSE,TRUE),exact(metadata!I554,"10090"))</f>
        <v>0</v>
      </c>
      <c r="AD554">
        <f>OR(AND(IF(metadata!J554="",FALSE,TRUE),OR(exact(metadata!J554,"not applicable"),exact(metadata!J554,"missing: not collected"),exact(metadata!J554,"missing: not provided"),exact(metadata!J554,"missing: restricted access"))),AND(IF(metadata!J554="",FALSE,ISNUMBER(VALUE(metadata!J554))),metadata!J554&gt;0))</f>
        <v>0</v>
      </c>
      <c r="AE554">
        <f>AND(IF(metadata!K554="",FALSE,TRUE),exact(metadata!K554,"g"))</f>
        <v>0</v>
      </c>
    </row>
    <row r="555" spans="1:31">
      <c r="A555" s="5">
        <f>IF(B555=" "," ",HYPERLINK(CONCATENATE("#metadata!",ADDRESS(INDEX($Q$2:$Q$1001,MATCH(ROWS($O$2:O555),$O$2:$O$1001,0),0),1)),INDEX($T$2:$T$1001,MATCH(ROWS($O$2:O555),$O$2:$O$1001,0),0)))</f>
        <v>0</v>
      </c>
      <c r="B555" s="4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4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4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4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4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4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4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4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4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4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OR(AND(IF(metadata!C555="",FALSE,TRUE),OR(exact(metadata!C555,"not applicable"),exact(metadata!C555,"missing: not collected"),exact(metadata!C555,"missing: not provided"),exact(metadata!C555,"missing: restricted access"))),AND(IF(metadata!C555="",FALSE,ISNUMBER(VALUE(metadata!C555))),metadata!C555&gt;0))</f>
        <v>0</v>
      </c>
      <c r="X555">
        <f>AND(IF(metadata!D555="",FALSE,TRUE),exact(metadata!D555,"weeks"))</f>
        <v>0</v>
      </c>
      <c r="Y555">
        <f>AND(IF(metadata!E555="",FALSE,TRUE),exact(metadata!E555,"urban biome"))</f>
        <v>0</v>
      </c>
      <c r="Z555">
        <f>AND(IF(metadata!F555="",FALSE,TRUE),exact(metadata!F555,"animal-associated habitat"))</f>
        <v>0</v>
      </c>
      <c r="AA555">
        <f>AND(IF(metadata!G555="",FALSE,TRUE),exact(metadata!G555,"mouse"))</f>
        <v>0</v>
      </c>
      <c r="AB555">
        <f>AND(IF(metadata!H555="",FALSE,TRUE),exact(metadata!H555,"Mus musculus"))</f>
        <v>0</v>
      </c>
      <c r="AC555">
        <f>AND(IF(metadata!I555="",FALSE,TRUE),exact(metadata!I555,"10090"))</f>
        <v>0</v>
      </c>
      <c r="AD555">
        <f>OR(AND(IF(metadata!J555="",FALSE,TRUE),OR(exact(metadata!J555,"not applicable"),exact(metadata!J555,"missing: not collected"),exact(metadata!J555,"missing: not provided"),exact(metadata!J555,"missing: restricted access"))),AND(IF(metadata!J555="",FALSE,ISNUMBER(VALUE(metadata!J555))),metadata!J555&gt;0))</f>
        <v>0</v>
      </c>
      <c r="AE555">
        <f>AND(IF(metadata!K555="",FALSE,TRUE),exact(metadata!K555,"g"))</f>
        <v>0</v>
      </c>
    </row>
    <row r="556" spans="1:31">
      <c r="A556" s="5">
        <f>IF(B556=" "," ",HYPERLINK(CONCATENATE("#metadata!",ADDRESS(INDEX($Q$2:$Q$1001,MATCH(ROWS($O$2:O556),$O$2:$O$1001,0),0),1)),INDEX($T$2:$T$1001,MATCH(ROWS($O$2:O556),$O$2:$O$1001,0),0)))</f>
        <v>0</v>
      </c>
      <c r="B556" s="4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4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4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4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4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4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4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4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4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4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OR(AND(IF(metadata!C556="",FALSE,TRUE),OR(exact(metadata!C556,"not applicable"),exact(metadata!C556,"missing: not collected"),exact(metadata!C556,"missing: not provided"),exact(metadata!C556,"missing: restricted access"))),AND(IF(metadata!C556="",FALSE,ISNUMBER(VALUE(metadata!C556))),metadata!C556&gt;0))</f>
        <v>0</v>
      </c>
      <c r="X556">
        <f>AND(IF(metadata!D556="",FALSE,TRUE),exact(metadata!D556,"weeks"))</f>
        <v>0</v>
      </c>
      <c r="Y556">
        <f>AND(IF(metadata!E556="",FALSE,TRUE),exact(metadata!E556,"urban biome"))</f>
        <v>0</v>
      </c>
      <c r="Z556">
        <f>AND(IF(metadata!F556="",FALSE,TRUE),exact(metadata!F556,"animal-associated habitat"))</f>
        <v>0</v>
      </c>
      <c r="AA556">
        <f>AND(IF(metadata!G556="",FALSE,TRUE),exact(metadata!G556,"mouse"))</f>
        <v>0</v>
      </c>
      <c r="AB556">
        <f>AND(IF(metadata!H556="",FALSE,TRUE),exact(metadata!H556,"Mus musculus"))</f>
        <v>0</v>
      </c>
      <c r="AC556">
        <f>AND(IF(metadata!I556="",FALSE,TRUE),exact(metadata!I556,"10090"))</f>
        <v>0</v>
      </c>
      <c r="AD556">
        <f>OR(AND(IF(metadata!J556="",FALSE,TRUE),OR(exact(metadata!J556,"not applicable"),exact(metadata!J556,"missing: not collected"),exact(metadata!J556,"missing: not provided"),exact(metadata!J556,"missing: restricted access"))),AND(IF(metadata!J556="",FALSE,ISNUMBER(VALUE(metadata!J556))),metadata!J556&gt;0))</f>
        <v>0</v>
      </c>
      <c r="AE556">
        <f>AND(IF(metadata!K556="",FALSE,TRUE),exact(metadata!K556,"g"))</f>
        <v>0</v>
      </c>
    </row>
    <row r="557" spans="1:31">
      <c r="A557" s="5">
        <f>IF(B557=" "," ",HYPERLINK(CONCATENATE("#metadata!",ADDRESS(INDEX($Q$2:$Q$1001,MATCH(ROWS($O$2:O557),$O$2:$O$1001,0),0),1)),INDEX($T$2:$T$1001,MATCH(ROWS($O$2:O557),$O$2:$O$1001,0),0)))</f>
        <v>0</v>
      </c>
      <c r="B557" s="4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4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4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4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4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4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4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4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4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4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OR(AND(IF(metadata!C557="",FALSE,TRUE),OR(exact(metadata!C557,"not applicable"),exact(metadata!C557,"missing: not collected"),exact(metadata!C557,"missing: not provided"),exact(metadata!C557,"missing: restricted access"))),AND(IF(metadata!C557="",FALSE,ISNUMBER(VALUE(metadata!C557))),metadata!C557&gt;0))</f>
        <v>0</v>
      </c>
      <c r="X557">
        <f>AND(IF(metadata!D557="",FALSE,TRUE),exact(metadata!D557,"weeks"))</f>
        <v>0</v>
      </c>
      <c r="Y557">
        <f>AND(IF(metadata!E557="",FALSE,TRUE),exact(metadata!E557,"urban biome"))</f>
        <v>0</v>
      </c>
      <c r="Z557">
        <f>AND(IF(metadata!F557="",FALSE,TRUE),exact(metadata!F557,"animal-associated habitat"))</f>
        <v>0</v>
      </c>
      <c r="AA557">
        <f>AND(IF(metadata!G557="",FALSE,TRUE),exact(metadata!G557,"mouse"))</f>
        <v>0</v>
      </c>
      <c r="AB557">
        <f>AND(IF(metadata!H557="",FALSE,TRUE),exact(metadata!H557,"Mus musculus"))</f>
        <v>0</v>
      </c>
      <c r="AC557">
        <f>AND(IF(metadata!I557="",FALSE,TRUE),exact(metadata!I557,"10090"))</f>
        <v>0</v>
      </c>
      <c r="AD557">
        <f>OR(AND(IF(metadata!J557="",FALSE,TRUE),OR(exact(metadata!J557,"not applicable"),exact(metadata!J557,"missing: not collected"),exact(metadata!J557,"missing: not provided"),exact(metadata!J557,"missing: restricted access"))),AND(IF(metadata!J557="",FALSE,ISNUMBER(VALUE(metadata!J557))),metadata!J557&gt;0))</f>
        <v>0</v>
      </c>
      <c r="AE557">
        <f>AND(IF(metadata!K557="",FALSE,TRUE),exact(metadata!K557,"g"))</f>
        <v>0</v>
      </c>
    </row>
    <row r="558" spans="1:31">
      <c r="A558" s="5">
        <f>IF(B558=" "," ",HYPERLINK(CONCATENATE("#metadata!",ADDRESS(INDEX($Q$2:$Q$1001,MATCH(ROWS($O$2:O558),$O$2:$O$1001,0),0),1)),INDEX($T$2:$T$1001,MATCH(ROWS($O$2:O558),$O$2:$O$1001,0),0)))</f>
        <v>0</v>
      </c>
      <c r="B558" s="4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4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4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4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4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4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4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4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4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4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OR(AND(IF(metadata!C558="",FALSE,TRUE),OR(exact(metadata!C558,"not applicable"),exact(metadata!C558,"missing: not collected"),exact(metadata!C558,"missing: not provided"),exact(metadata!C558,"missing: restricted access"))),AND(IF(metadata!C558="",FALSE,ISNUMBER(VALUE(metadata!C558))),metadata!C558&gt;0))</f>
        <v>0</v>
      </c>
      <c r="X558">
        <f>AND(IF(metadata!D558="",FALSE,TRUE),exact(metadata!D558,"weeks"))</f>
        <v>0</v>
      </c>
      <c r="Y558">
        <f>AND(IF(metadata!E558="",FALSE,TRUE),exact(metadata!E558,"urban biome"))</f>
        <v>0</v>
      </c>
      <c r="Z558">
        <f>AND(IF(metadata!F558="",FALSE,TRUE),exact(metadata!F558,"animal-associated habitat"))</f>
        <v>0</v>
      </c>
      <c r="AA558">
        <f>AND(IF(metadata!G558="",FALSE,TRUE),exact(metadata!G558,"mouse"))</f>
        <v>0</v>
      </c>
      <c r="AB558">
        <f>AND(IF(metadata!H558="",FALSE,TRUE),exact(metadata!H558,"Mus musculus"))</f>
        <v>0</v>
      </c>
      <c r="AC558">
        <f>AND(IF(metadata!I558="",FALSE,TRUE),exact(metadata!I558,"10090"))</f>
        <v>0</v>
      </c>
      <c r="AD558">
        <f>OR(AND(IF(metadata!J558="",FALSE,TRUE),OR(exact(metadata!J558,"not applicable"),exact(metadata!J558,"missing: not collected"),exact(metadata!J558,"missing: not provided"),exact(metadata!J558,"missing: restricted access"))),AND(IF(metadata!J558="",FALSE,ISNUMBER(VALUE(metadata!J558))),metadata!J558&gt;0))</f>
        <v>0</v>
      </c>
      <c r="AE558">
        <f>AND(IF(metadata!K558="",FALSE,TRUE),exact(metadata!K558,"g"))</f>
        <v>0</v>
      </c>
    </row>
    <row r="559" spans="1:31">
      <c r="A559" s="5">
        <f>IF(B559=" "," ",HYPERLINK(CONCATENATE("#metadata!",ADDRESS(INDEX($Q$2:$Q$1001,MATCH(ROWS($O$2:O559),$O$2:$O$1001,0),0),1)),INDEX($T$2:$T$1001,MATCH(ROWS($O$2:O559),$O$2:$O$1001,0),0)))</f>
        <v>0</v>
      </c>
      <c r="B559" s="4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4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4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4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4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4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4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4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4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4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OR(AND(IF(metadata!C559="",FALSE,TRUE),OR(exact(metadata!C559,"not applicable"),exact(metadata!C559,"missing: not collected"),exact(metadata!C559,"missing: not provided"),exact(metadata!C559,"missing: restricted access"))),AND(IF(metadata!C559="",FALSE,ISNUMBER(VALUE(metadata!C559))),metadata!C559&gt;0))</f>
        <v>0</v>
      </c>
      <c r="X559">
        <f>AND(IF(metadata!D559="",FALSE,TRUE),exact(metadata!D559,"weeks"))</f>
        <v>0</v>
      </c>
      <c r="Y559">
        <f>AND(IF(metadata!E559="",FALSE,TRUE),exact(metadata!E559,"urban biome"))</f>
        <v>0</v>
      </c>
      <c r="Z559">
        <f>AND(IF(metadata!F559="",FALSE,TRUE),exact(metadata!F559,"animal-associated habitat"))</f>
        <v>0</v>
      </c>
      <c r="AA559">
        <f>AND(IF(metadata!G559="",FALSE,TRUE),exact(metadata!G559,"mouse"))</f>
        <v>0</v>
      </c>
      <c r="AB559">
        <f>AND(IF(metadata!H559="",FALSE,TRUE),exact(metadata!H559,"Mus musculus"))</f>
        <v>0</v>
      </c>
      <c r="AC559">
        <f>AND(IF(metadata!I559="",FALSE,TRUE),exact(metadata!I559,"10090"))</f>
        <v>0</v>
      </c>
      <c r="AD559">
        <f>OR(AND(IF(metadata!J559="",FALSE,TRUE),OR(exact(metadata!J559,"not applicable"),exact(metadata!J559,"missing: not collected"),exact(metadata!J559,"missing: not provided"),exact(metadata!J559,"missing: restricted access"))),AND(IF(metadata!J559="",FALSE,ISNUMBER(VALUE(metadata!J559))),metadata!J559&gt;0))</f>
        <v>0</v>
      </c>
      <c r="AE559">
        <f>AND(IF(metadata!K559="",FALSE,TRUE),exact(metadata!K559,"g"))</f>
        <v>0</v>
      </c>
    </row>
    <row r="560" spans="1:31">
      <c r="A560" s="5">
        <f>IF(B560=" "," ",HYPERLINK(CONCATENATE("#metadata!",ADDRESS(INDEX($Q$2:$Q$1001,MATCH(ROWS($O$2:O560),$O$2:$O$1001,0),0),1)),INDEX($T$2:$T$1001,MATCH(ROWS($O$2:O560),$O$2:$O$1001,0),0)))</f>
        <v>0</v>
      </c>
      <c r="B560" s="4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4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4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4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4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4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4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4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4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4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OR(AND(IF(metadata!C560="",FALSE,TRUE),OR(exact(metadata!C560,"not applicable"),exact(metadata!C560,"missing: not collected"),exact(metadata!C560,"missing: not provided"),exact(metadata!C560,"missing: restricted access"))),AND(IF(metadata!C560="",FALSE,ISNUMBER(VALUE(metadata!C560))),metadata!C560&gt;0))</f>
        <v>0</v>
      </c>
      <c r="X560">
        <f>AND(IF(metadata!D560="",FALSE,TRUE),exact(metadata!D560,"weeks"))</f>
        <v>0</v>
      </c>
      <c r="Y560">
        <f>AND(IF(metadata!E560="",FALSE,TRUE),exact(metadata!E560,"urban biome"))</f>
        <v>0</v>
      </c>
      <c r="Z560">
        <f>AND(IF(metadata!F560="",FALSE,TRUE),exact(metadata!F560,"animal-associated habitat"))</f>
        <v>0</v>
      </c>
      <c r="AA560">
        <f>AND(IF(metadata!G560="",FALSE,TRUE),exact(metadata!G560,"mouse"))</f>
        <v>0</v>
      </c>
      <c r="AB560">
        <f>AND(IF(metadata!H560="",FALSE,TRUE),exact(metadata!H560,"Mus musculus"))</f>
        <v>0</v>
      </c>
      <c r="AC560">
        <f>AND(IF(metadata!I560="",FALSE,TRUE),exact(metadata!I560,"10090"))</f>
        <v>0</v>
      </c>
      <c r="AD560">
        <f>OR(AND(IF(metadata!J560="",FALSE,TRUE),OR(exact(metadata!J560,"not applicable"),exact(metadata!J560,"missing: not collected"),exact(metadata!J560,"missing: not provided"),exact(metadata!J560,"missing: restricted access"))),AND(IF(metadata!J560="",FALSE,ISNUMBER(VALUE(metadata!J560))),metadata!J560&gt;0))</f>
        <v>0</v>
      </c>
      <c r="AE560">
        <f>AND(IF(metadata!K560="",FALSE,TRUE),exact(metadata!K560,"g"))</f>
        <v>0</v>
      </c>
    </row>
    <row r="561" spans="1:31">
      <c r="A561" s="5">
        <f>IF(B561=" "," ",HYPERLINK(CONCATENATE("#metadata!",ADDRESS(INDEX($Q$2:$Q$1001,MATCH(ROWS($O$2:O561),$O$2:$O$1001,0),0),1)),INDEX($T$2:$T$1001,MATCH(ROWS($O$2:O561),$O$2:$O$1001,0),0)))</f>
        <v>0</v>
      </c>
      <c r="B561" s="4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4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4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4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4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4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4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4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4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4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OR(AND(IF(metadata!C561="",FALSE,TRUE),OR(exact(metadata!C561,"not applicable"),exact(metadata!C561,"missing: not collected"),exact(metadata!C561,"missing: not provided"),exact(metadata!C561,"missing: restricted access"))),AND(IF(metadata!C561="",FALSE,ISNUMBER(VALUE(metadata!C561))),metadata!C561&gt;0))</f>
        <v>0</v>
      </c>
      <c r="X561">
        <f>AND(IF(metadata!D561="",FALSE,TRUE),exact(metadata!D561,"weeks"))</f>
        <v>0</v>
      </c>
      <c r="Y561">
        <f>AND(IF(metadata!E561="",FALSE,TRUE),exact(metadata!E561,"urban biome"))</f>
        <v>0</v>
      </c>
      <c r="Z561">
        <f>AND(IF(metadata!F561="",FALSE,TRUE),exact(metadata!F561,"animal-associated habitat"))</f>
        <v>0</v>
      </c>
      <c r="AA561">
        <f>AND(IF(metadata!G561="",FALSE,TRUE),exact(metadata!G561,"mouse"))</f>
        <v>0</v>
      </c>
      <c r="AB561">
        <f>AND(IF(metadata!H561="",FALSE,TRUE),exact(metadata!H561,"Mus musculus"))</f>
        <v>0</v>
      </c>
      <c r="AC561">
        <f>AND(IF(metadata!I561="",FALSE,TRUE),exact(metadata!I561,"10090"))</f>
        <v>0</v>
      </c>
      <c r="AD561">
        <f>OR(AND(IF(metadata!J561="",FALSE,TRUE),OR(exact(metadata!J561,"not applicable"),exact(metadata!J561,"missing: not collected"),exact(metadata!J561,"missing: not provided"),exact(metadata!J561,"missing: restricted access"))),AND(IF(metadata!J561="",FALSE,ISNUMBER(VALUE(metadata!J561))),metadata!J561&gt;0))</f>
        <v>0</v>
      </c>
      <c r="AE561">
        <f>AND(IF(metadata!K561="",FALSE,TRUE),exact(metadata!K561,"g"))</f>
        <v>0</v>
      </c>
    </row>
    <row r="562" spans="1:31">
      <c r="A562" s="5">
        <f>IF(B562=" "," ",HYPERLINK(CONCATENATE("#metadata!",ADDRESS(INDEX($Q$2:$Q$1001,MATCH(ROWS($O$2:O562),$O$2:$O$1001,0),0),1)),INDEX($T$2:$T$1001,MATCH(ROWS($O$2:O562),$O$2:$O$1001,0),0)))</f>
        <v>0</v>
      </c>
      <c r="B562" s="4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4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4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4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4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4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4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4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4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4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OR(AND(IF(metadata!C562="",FALSE,TRUE),OR(exact(metadata!C562,"not applicable"),exact(metadata!C562,"missing: not collected"),exact(metadata!C562,"missing: not provided"),exact(metadata!C562,"missing: restricted access"))),AND(IF(metadata!C562="",FALSE,ISNUMBER(VALUE(metadata!C562))),metadata!C562&gt;0))</f>
        <v>0</v>
      </c>
      <c r="X562">
        <f>AND(IF(metadata!D562="",FALSE,TRUE),exact(metadata!D562,"weeks"))</f>
        <v>0</v>
      </c>
      <c r="Y562">
        <f>AND(IF(metadata!E562="",FALSE,TRUE),exact(metadata!E562,"urban biome"))</f>
        <v>0</v>
      </c>
      <c r="Z562">
        <f>AND(IF(metadata!F562="",FALSE,TRUE),exact(metadata!F562,"animal-associated habitat"))</f>
        <v>0</v>
      </c>
      <c r="AA562">
        <f>AND(IF(metadata!G562="",FALSE,TRUE),exact(metadata!G562,"mouse"))</f>
        <v>0</v>
      </c>
      <c r="AB562">
        <f>AND(IF(metadata!H562="",FALSE,TRUE),exact(metadata!H562,"Mus musculus"))</f>
        <v>0</v>
      </c>
      <c r="AC562">
        <f>AND(IF(metadata!I562="",FALSE,TRUE),exact(metadata!I562,"10090"))</f>
        <v>0</v>
      </c>
      <c r="AD562">
        <f>OR(AND(IF(metadata!J562="",FALSE,TRUE),OR(exact(metadata!J562,"not applicable"),exact(metadata!J562,"missing: not collected"),exact(metadata!J562,"missing: not provided"),exact(metadata!J562,"missing: restricted access"))),AND(IF(metadata!J562="",FALSE,ISNUMBER(VALUE(metadata!J562))),metadata!J562&gt;0))</f>
        <v>0</v>
      </c>
      <c r="AE562">
        <f>AND(IF(metadata!K562="",FALSE,TRUE),exact(metadata!K562,"g"))</f>
        <v>0</v>
      </c>
    </row>
    <row r="563" spans="1:31">
      <c r="A563" s="5">
        <f>IF(B563=" "," ",HYPERLINK(CONCATENATE("#metadata!",ADDRESS(INDEX($Q$2:$Q$1001,MATCH(ROWS($O$2:O563),$O$2:$O$1001,0),0),1)),INDEX($T$2:$T$1001,MATCH(ROWS($O$2:O563),$O$2:$O$1001,0),0)))</f>
        <v>0</v>
      </c>
      <c r="B563" s="4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4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4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4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4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4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4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4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4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4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OR(AND(IF(metadata!C563="",FALSE,TRUE),OR(exact(metadata!C563,"not applicable"),exact(metadata!C563,"missing: not collected"),exact(metadata!C563,"missing: not provided"),exact(metadata!C563,"missing: restricted access"))),AND(IF(metadata!C563="",FALSE,ISNUMBER(VALUE(metadata!C563))),metadata!C563&gt;0))</f>
        <v>0</v>
      </c>
      <c r="X563">
        <f>AND(IF(metadata!D563="",FALSE,TRUE),exact(metadata!D563,"weeks"))</f>
        <v>0</v>
      </c>
      <c r="Y563">
        <f>AND(IF(metadata!E563="",FALSE,TRUE),exact(metadata!E563,"urban biome"))</f>
        <v>0</v>
      </c>
      <c r="Z563">
        <f>AND(IF(metadata!F563="",FALSE,TRUE),exact(metadata!F563,"animal-associated habitat"))</f>
        <v>0</v>
      </c>
      <c r="AA563">
        <f>AND(IF(metadata!G563="",FALSE,TRUE),exact(metadata!G563,"mouse"))</f>
        <v>0</v>
      </c>
      <c r="AB563">
        <f>AND(IF(metadata!H563="",FALSE,TRUE),exact(metadata!H563,"Mus musculus"))</f>
        <v>0</v>
      </c>
      <c r="AC563">
        <f>AND(IF(metadata!I563="",FALSE,TRUE),exact(metadata!I563,"10090"))</f>
        <v>0</v>
      </c>
      <c r="AD563">
        <f>OR(AND(IF(metadata!J563="",FALSE,TRUE),OR(exact(metadata!J563,"not applicable"),exact(metadata!J563,"missing: not collected"),exact(metadata!J563,"missing: not provided"),exact(metadata!J563,"missing: restricted access"))),AND(IF(metadata!J563="",FALSE,ISNUMBER(VALUE(metadata!J563))),metadata!J563&gt;0))</f>
        <v>0</v>
      </c>
      <c r="AE563">
        <f>AND(IF(metadata!K563="",FALSE,TRUE),exact(metadata!K563,"g"))</f>
        <v>0</v>
      </c>
    </row>
    <row r="564" spans="1:31">
      <c r="A564" s="5">
        <f>IF(B564=" "," ",HYPERLINK(CONCATENATE("#metadata!",ADDRESS(INDEX($Q$2:$Q$1001,MATCH(ROWS($O$2:O564),$O$2:$O$1001,0),0),1)),INDEX($T$2:$T$1001,MATCH(ROWS($O$2:O564),$O$2:$O$1001,0),0)))</f>
        <v>0</v>
      </c>
      <c r="B564" s="4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4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4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4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4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4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4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4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4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4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OR(AND(IF(metadata!C564="",FALSE,TRUE),OR(exact(metadata!C564,"not applicable"),exact(metadata!C564,"missing: not collected"),exact(metadata!C564,"missing: not provided"),exact(metadata!C564,"missing: restricted access"))),AND(IF(metadata!C564="",FALSE,ISNUMBER(VALUE(metadata!C564))),metadata!C564&gt;0))</f>
        <v>0</v>
      </c>
      <c r="X564">
        <f>AND(IF(metadata!D564="",FALSE,TRUE),exact(metadata!D564,"weeks"))</f>
        <v>0</v>
      </c>
      <c r="Y564">
        <f>AND(IF(metadata!E564="",FALSE,TRUE),exact(metadata!E564,"urban biome"))</f>
        <v>0</v>
      </c>
      <c r="Z564">
        <f>AND(IF(metadata!F564="",FALSE,TRUE),exact(metadata!F564,"animal-associated habitat"))</f>
        <v>0</v>
      </c>
      <c r="AA564">
        <f>AND(IF(metadata!G564="",FALSE,TRUE),exact(metadata!G564,"mouse"))</f>
        <v>0</v>
      </c>
      <c r="AB564">
        <f>AND(IF(metadata!H564="",FALSE,TRUE),exact(metadata!H564,"Mus musculus"))</f>
        <v>0</v>
      </c>
      <c r="AC564">
        <f>AND(IF(metadata!I564="",FALSE,TRUE),exact(metadata!I564,"10090"))</f>
        <v>0</v>
      </c>
      <c r="AD564">
        <f>OR(AND(IF(metadata!J564="",FALSE,TRUE),OR(exact(metadata!J564,"not applicable"),exact(metadata!J564,"missing: not collected"),exact(metadata!J564,"missing: not provided"),exact(metadata!J564,"missing: restricted access"))),AND(IF(metadata!J564="",FALSE,ISNUMBER(VALUE(metadata!J564))),metadata!J564&gt;0))</f>
        <v>0</v>
      </c>
      <c r="AE564">
        <f>AND(IF(metadata!K564="",FALSE,TRUE),exact(metadata!K564,"g"))</f>
        <v>0</v>
      </c>
    </row>
    <row r="565" spans="1:31">
      <c r="A565" s="5">
        <f>IF(B565=" "," ",HYPERLINK(CONCATENATE("#metadata!",ADDRESS(INDEX($Q$2:$Q$1001,MATCH(ROWS($O$2:O565),$O$2:$O$1001,0),0),1)),INDEX($T$2:$T$1001,MATCH(ROWS($O$2:O565),$O$2:$O$1001,0),0)))</f>
        <v>0</v>
      </c>
      <c r="B565" s="4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4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4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4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4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4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4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4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4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4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OR(AND(IF(metadata!C565="",FALSE,TRUE),OR(exact(metadata!C565,"not applicable"),exact(metadata!C565,"missing: not collected"),exact(metadata!C565,"missing: not provided"),exact(metadata!C565,"missing: restricted access"))),AND(IF(metadata!C565="",FALSE,ISNUMBER(VALUE(metadata!C565))),metadata!C565&gt;0))</f>
        <v>0</v>
      </c>
      <c r="X565">
        <f>AND(IF(metadata!D565="",FALSE,TRUE),exact(metadata!D565,"weeks"))</f>
        <v>0</v>
      </c>
      <c r="Y565">
        <f>AND(IF(metadata!E565="",FALSE,TRUE),exact(metadata!E565,"urban biome"))</f>
        <v>0</v>
      </c>
      <c r="Z565">
        <f>AND(IF(metadata!F565="",FALSE,TRUE),exact(metadata!F565,"animal-associated habitat"))</f>
        <v>0</v>
      </c>
      <c r="AA565">
        <f>AND(IF(metadata!G565="",FALSE,TRUE),exact(metadata!G565,"mouse"))</f>
        <v>0</v>
      </c>
      <c r="AB565">
        <f>AND(IF(metadata!H565="",FALSE,TRUE),exact(metadata!H565,"Mus musculus"))</f>
        <v>0</v>
      </c>
      <c r="AC565">
        <f>AND(IF(metadata!I565="",FALSE,TRUE),exact(metadata!I565,"10090"))</f>
        <v>0</v>
      </c>
      <c r="AD565">
        <f>OR(AND(IF(metadata!J565="",FALSE,TRUE),OR(exact(metadata!J565,"not applicable"),exact(metadata!J565,"missing: not collected"),exact(metadata!J565,"missing: not provided"),exact(metadata!J565,"missing: restricted access"))),AND(IF(metadata!J565="",FALSE,ISNUMBER(VALUE(metadata!J565))),metadata!J565&gt;0))</f>
        <v>0</v>
      </c>
      <c r="AE565">
        <f>AND(IF(metadata!K565="",FALSE,TRUE),exact(metadata!K565,"g"))</f>
        <v>0</v>
      </c>
    </row>
    <row r="566" spans="1:31">
      <c r="A566" s="5">
        <f>IF(B566=" "," ",HYPERLINK(CONCATENATE("#metadata!",ADDRESS(INDEX($Q$2:$Q$1001,MATCH(ROWS($O$2:O566),$O$2:$O$1001,0),0),1)),INDEX($T$2:$T$1001,MATCH(ROWS($O$2:O566),$O$2:$O$1001,0),0)))</f>
        <v>0</v>
      </c>
      <c r="B566" s="4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4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4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4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4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4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4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4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4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4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OR(AND(IF(metadata!C566="",FALSE,TRUE),OR(exact(metadata!C566,"not applicable"),exact(metadata!C566,"missing: not collected"),exact(metadata!C566,"missing: not provided"),exact(metadata!C566,"missing: restricted access"))),AND(IF(metadata!C566="",FALSE,ISNUMBER(VALUE(metadata!C566))),metadata!C566&gt;0))</f>
        <v>0</v>
      </c>
      <c r="X566">
        <f>AND(IF(metadata!D566="",FALSE,TRUE),exact(metadata!D566,"weeks"))</f>
        <v>0</v>
      </c>
      <c r="Y566">
        <f>AND(IF(metadata!E566="",FALSE,TRUE),exact(metadata!E566,"urban biome"))</f>
        <v>0</v>
      </c>
      <c r="Z566">
        <f>AND(IF(metadata!F566="",FALSE,TRUE),exact(metadata!F566,"animal-associated habitat"))</f>
        <v>0</v>
      </c>
      <c r="AA566">
        <f>AND(IF(metadata!G566="",FALSE,TRUE),exact(metadata!G566,"mouse"))</f>
        <v>0</v>
      </c>
      <c r="AB566">
        <f>AND(IF(metadata!H566="",FALSE,TRUE),exact(metadata!H566,"Mus musculus"))</f>
        <v>0</v>
      </c>
      <c r="AC566">
        <f>AND(IF(metadata!I566="",FALSE,TRUE),exact(metadata!I566,"10090"))</f>
        <v>0</v>
      </c>
      <c r="AD566">
        <f>OR(AND(IF(metadata!J566="",FALSE,TRUE),OR(exact(metadata!J566,"not applicable"),exact(metadata!J566,"missing: not collected"),exact(metadata!J566,"missing: not provided"),exact(metadata!J566,"missing: restricted access"))),AND(IF(metadata!J566="",FALSE,ISNUMBER(VALUE(metadata!J566))),metadata!J566&gt;0))</f>
        <v>0</v>
      </c>
      <c r="AE566">
        <f>AND(IF(metadata!K566="",FALSE,TRUE),exact(metadata!K566,"g"))</f>
        <v>0</v>
      </c>
    </row>
    <row r="567" spans="1:31">
      <c r="A567" s="5">
        <f>IF(B567=" "," ",HYPERLINK(CONCATENATE("#metadata!",ADDRESS(INDEX($Q$2:$Q$1001,MATCH(ROWS($O$2:O567),$O$2:$O$1001,0),0),1)),INDEX($T$2:$T$1001,MATCH(ROWS($O$2:O567),$O$2:$O$1001,0),0)))</f>
        <v>0</v>
      </c>
      <c r="B567" s="4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4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4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4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4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4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4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4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4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4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OR(AND(IF(metadata!C567="",FALSE,TRUE),OR(exact(metadata!C567,"not applicable"),exact(metadata!C567,"missing: not collected"),exact(metadata!C567,"missing: not provided"),exact(metadata!C567,"missing: restricted access"))),AND(IF(metadata!C567="",FALSE,ISNUMBER(VALUE(metadata!C567))),metadata!C567&gt;0))</f>
        <v>0</v>
      </c>
      <c r="X567">
        <f>AND(IF(metadata!D567="",FALSE,TRUE),exact(metadata!D567,"weeks"))</f>
        <v>0</v>
      </c>
      <c r="Y567">
        <f>AND(IF(metadata!E567="",FALSE,TRUE),exact(metadata!E567,"urban biome"))</f>
        <v>0</v>
      </c>
      <c r="Z567">
        <f>AND(IF(metadata!F567="",FALSE,TRUE),exact(metadata!F567,"animal-associated habitat"))</f>
        <v>0</v>
      </c>
      <c r="AA567">
        <f>AND(IF(metadata!G567="",FALSE,TRUE),exact(metadata!G567,"mouse"))</f>
        <v>0</v>
      </c>
      <c r="AB567">
        <f>AND(IF(metadata!H567="",FALSE,TRUE),exact(metadata!H567,"Mus musculus"))</f>
        <v>0</v>
      </c>
      <c r="AC567">
        <f>AND(IF(metadata!I567="",FALSE,TRUE),exact(metadata!I567,"10090"))</f>
        <v>0</v>
      </c>
      <c r="AD567">
        <f>OR(AND(IF(metadata!J567="",FALSE,TRUE),OR(exact(metadata!J567,"not applicable"),exact(metadata!J567,"missing: not collected"),exact(metadata!J567,"missing: not provided"),exact(metadata!J567,"missing: restricted access"))),AND(IF(metadata!J567="",FALSE,ISNUMBER(VALUE(metadata!J567))),metadata!J567&gt;0))</f>
        <v>0</v>
      </c>
      <c r="AE567">
        <f>AND(IF(metadata!K567="",FALSE,TRUE),exact(metadata!K567,"g"))</f>
        <v>0</v>
      </c>
    </row>
    <row r="568" spans="1:31">
      <c r="A568" s="5">
        <f>IF(B568=" "," ",HYPERLINK(CONCATENATE("#metadata!",ADDRESS(INDEX($Q$2:$Q$1001,MATCH(ROWS($O$2:O568),$O$2:$O$1001,0),0),1)),INDEX($T$2:$T$1001,MATCH(ROWS($O$2:O568),$O$2:$O$1001,0),0)))</f>
        <v>0</v>
      </c>
      <c r="B568" s="4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4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4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4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4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4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4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4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4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4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OR(AND(IF(metadata!C568="",FALSE,TRUE),OR(exact(metadata!C568,"not applicable"),exact(metadata!C568,"missing: not collected"),exact(metadata!C568,"missing: not provided"),exact(metadata!C568,"missing: restricted access"))),AND(IF(metadata!C568="",FALSE,ISNUMBER(VALUE(metadata!C568))),metadata!C568&gt;0))</f>
        <v>0</v>
      </c>
      <c r="X568">
        <f>AND(IF(metadata!D568="",FALSE,TRUE),exact(metadata!D568,"weeks"))</f>
        <v>0</v>
      </c>
      <c r="Y568">
        <f>AND(IF(metadata!E568="",FALSE,TRUE),exact(metadata!E568,"urban biome"))</f>
        <v>0</v>
      </c>
      <c r="Z568">
        <f>AND(IF(metadata!F568="",FALSE,TRUE),exact(metadata!F568,"animal-associated habitat"))</f>
        <v>0</v>
      </c>
      <c r="AA568">
        <f>AND(IF(metadata!G568="",FALSE,TRUE),exact(metadata!G568,"mouse"))</f>
        <v>0</v>
      </c>
      <c r="AB568">
        <f>AND(IF(metadata!H568="",FALSE,TRUE),exact(metadata!H568,"Mus musculus"))</f>
        <v>0</v>
      </c>
      <c r="AC568">
        <f>AND(IF(metadata!I568="",FALSE,TRUE),exact(metadata!I568,"10090"))</f>
        <v>0</v>
      </c>
      <c r="AD568">
        <f>OR(AND(IF(metadata!J568="",FALSE,TRUE),OR(exact(metadata!J568,"not applicable"),exact(metadata!J568,"missing: not collected"),exact(metadata!J568,"missing: not provided"),exact(metadata!J568,"missing: restricted access"))),AND(IF(metadata!J568="",FALSE,ISNUMBER(VALUE(metadata!J568))),metadata!J568&gt;0))</f>
        <v>0</v>
      </c>
      <c r="AE568">
        <f>AND(IF(metadata!K568="",FALSE,TRUE),exact(metadata!K568,"g"))</f>
        <v>0</v>
      </c>
    </row>
    <row r="569" spans="1:31">
      <c r="A569" s="5">
        <f>IF(B569=" "," ",HYPERLINK(CONCATENATE("#metadata!",ADDRESS(INDEX($Q$2:$Q$1001,MATCH(ROWS($O$2:O569),$O$2:$O$1001,0),0),1)),INDEX($T$2:$T$1001,MATCH(ROWS($O$2:O569),$O$2:$O$1001,0),0)))</f>
        <v>0</v>
      </c>
      <c r="B569" s="4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4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4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4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4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4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4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4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4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4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OR(AND(IF(metadata!C569="",FALSE,TRUE),OR(exact(metadata!C569,"not applicable"),exact(metadata!C569,"missing: not collected"),exact(metadata!C569,"missing: not provided"),exact(metadata!C569,"missing: restricted access"))),AND(IF(metadata!C569="",FALSE,ISNUMBER(VALUE(metadata!C569))),metadata!C569&gt;0))</f>
        <v>0</v>
      </c>
      <c r="X569">
        <f>AND(IF(metadata!D569="",FALSE,TRUE),exact(metadata!D569,"weeks"))</f>
        <v>0</v>
      </c>
      <c r="Y569">
        <f>AND(IF(metadata!E569="",FALSE,TRUE),exact(metadata!E569,"urban biome"))</f>
        <v>0</v>
      </c>
      <c r="Z569">
        <f>AND(IF(metadata!F569="",FALSE,TRUE),exact(metadata!F569,"animal-associated habitat"))</f>
        <v>0</v>
      </c>
      <c r="AA569">
        <f>AND(IF(metadata!G569="",FALSE,TRUE),exact(metadata!G569,"mouse"))</f>
        <v>0</v>
      </c>
      <c r="AB569">
        <f>AND(IF(metadata!H569="",FALSE,TRUE),exact(metadata!H569,"Mus musculus"))</f>
        <v>0</v>
      </c>
      <c r="AC569">
        <f>AND(IF(metadata!I569="",FALSE,TRUE),exact(metadata!I569,"10090"))</f>
        <v>0</v>
      </c>
      <c r="AD569">
        <f>OR(AND(IF(metadata!J569="",FALSE,TRUE),OR(exact(metadata!J569,"not applicable"),exact(metadata!J569,"missing: not collected"),exact(metadata!J569,"missing: not provided"),exact(metadata!J569,"missing: restricted access"))),AND(IF(metadata!J569="",FALSE,ISNUMBER(VALUE(metadata!J569))),metadata!J569&gt;0))</f>
        <v>0</v>
      </c>
      <c r="AE569">
        <f>AND(IF(metadata!K569="",FALSE,TRUE),exact(metadata!K569,"g"))</f>
        <v>0</v>
      </c>
    </row>
    <row r="570" spans="1:31">
      <c r="A570" s="5">
        <f>IF(B570=" "," ",HYPERLINK(CONCATENATE("#metadata!",ADDRESS(INDEX($Q$2:$Q$1001,MATCH(ROWS($O$2:O570),$O$2:$O$1001,0),0),1)),INDEX($T$2:$T$1001,MATCH(ROWS($O$2:O570),$O$2:$O$1001,0),0)))</f>
        <v>0</v>
      </c>
      <c r="B570" s="4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4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4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4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4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4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4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4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4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4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OR(AND(IF(metadata!C570="",FALSE,TRUE),OR(exact(metadata!C570,"not applicable"),exact(metadata!C570,"missing: not collected"),exact(metadata!C570,"missing: not provided"),exact(metadata!C570,"missing: restricted access"))),AND(IF(metadata!C570="",FALSE,ISNUMBER(VALUE(metadata!C570))),metadata!C570&gt;0))</f>
        <v>0</v>
      </c>
      <c r="X570">
        <f>AND(IF(metadata!D570="",FALSE,TRUE),exact(metadata!D570,"weeks"))</f>
        <v>0</v>
      </c>
      <c r="Y570">
        <f>AND(IF(metadata!E570="",FALSE,TRUE),exact(metadata!E570,"urban biome"))</f>
        <v>0</v>
      </c>
      <c r="Z570">
        <f>AND(IF(metadata!F570="",FALSE,TRUE),exact(metadata!F570,"animal-associated habitat"))</f>
        <v>0</v>
      </c>
      <c r="AA570">
        <f>AND(IF(metadata!G570="",FALSE,TRUE),exact(metadata!G570,"mouse"))</f>
        <v>0</v>
      </c>
      <c r="AB570">
        <f>AND(IF(metadata!H570="",FALSE,TRUE),exact(metadata!H570,"Mus musculus"))</f>
        <v>0</v>
      </c>
      <c r="AC570">
        <f>AND(IF(metadata!I570="",FALSE,TRUE),exact(metadata!I570,"10090"))</f>
        <v>0</v>
      </c>
      <c r="AD570">
        <f>OR(AND(IF(metadata!J570="",FALSE,TRUE),OR(exact(metadata!J570,"not applicable"),exact(metadata!J570,"missing: not collected"),exact(metadata!J570,"missing: not provided"),exact(metadata!J570,"missing: restricted access"))),AND(IF(metadata!J570="",FALSE,ISNUMBER(VALUE(metadata!J570))),metadata!J570&gt;0))</f>
        <v>0</v>
      </c>
      <c r="AE570">
        <f>AND(IF(metadata!K570="",FALSE,TRUE),exact(metadata!K570,"g"))</f>
        <v>0</v>
      </c>
    </row>
    <row r="571" spans="1:31">
      <c r="A571" s="5">
        <f>IF(B571=" "," ",HYPERLINK(CONCATENATE("#metadata!",ADDRESS(INDEX($Q$2:$Q$1001,MATCH(ROWS($O$2:O571),$O$2:$O$1001,0),0),1)),INDEX($T$2:$T$1001,MATCH(ROWS($O$2:O571),$O$2:$O$1001,0),0)))</f>
        <v>0</v>
      </c>
      <c r="B571" s="4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4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4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4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4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4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4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4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4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4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OR(AND(IF(metadata!C571="",FALSE,TRUE),OR(exact(metadata!C571,"not applicable"),exact(metadata!C571,"missing: not collected"),exact(metadata!C571,"missing: not provided"),exact(metadata!C571,"missing: restricted access"))),AND(IF(metadata!C571="",FALSE,ISNUMBER(VALUE(metadata!C571))),metadata!C571&gt;0))</f>
        <v>0</v>
      </c>
      <c r="X571">
        <f>AND(IF(metadata!D571="",FALSE,TRUE),exact(metadata!D571,"weeks"))</f>
        <v>0</v>
      </c>
      <c r="Y571">
        <f>AND(IF(metadata!E571="",FALSE,TRUE),exact(metadata!E571,"urban biome"))</f>
        <v>0</v>
      </c>
      <c r="Z571">
        <f>AND(IF(metadata!F571="",FALSE,TRUE),exact(metadata!F571,"animal-associated habitat"))</f>
        <v>0</v>
      </c>
      <c r="AA571">
        <f>AND(IF(metadata!G571="",FALSE,TRUE),exact(metadata!G571,"mouse"))</f>
        <v>0</v>
      </c>
      <c r="AB571">
        <f>AND(IF(metadata!H571="",FALSE,TRUE),exact(metadata!H571,"Mus musculus"))</f>
        <v>0</v>
      </c>
      <c r="AC571">
        <f>AND(IF(metadata!I571="",FALSE,TRUE),exact(metadata!I571,"10090"))</f>
        <v>0</v>
      </c>
      <c r="AD571">
        <f>OR(AND(IF(metadata!J571="",FALSE,TRUE),OR(exact(metadata!J571,"not applicable"),exact(metadata!J571,"missing: not collected"),exact(metadata!J571,"missing: not provided"),exact(metadata!J571,"missing: restricted access"))),AND(IF(metadata!J571="",FALSE,ISNUMBER(VALUE(metadata!J571))),metadata!J571&gt;0))</f>
        <v>0</v>
      </c>
      <c r="AE571">
        <f>AND(IF(metadata!K571="",FALSE,TRUE),exact(metadata!K571,"g"))</f>
        <v>0</v>
      </c>
    </row>
    <row r="572" spans="1:31">
      <c r="A572" s="5">
        <f>IF(B572=" "," ",HYPERLINK(CONCATENATE("#metadata!",ADDRESS(INDEX($Q$2:$Q$1001,MATCH(ROWS($O$2:O572),$O$2:$O$1001,0),0),1)),INDEX($T$2:$T$1001,MATCH(ROWS($O$2:O572),$O$2:$O$1001,0),0)))</f>
        <v>0</v>
      </c>
      <c r="B572" s="4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4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4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4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4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4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4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4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4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4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OR(AND(IF(metadata!C572="",FALSE,TRUE),OR(exact(metadata!C572,"not applicable"),exact(metadata!C572,"missing: not collected"),exact(metadata!C572,"missing: not provided"),exact(metadata!C572,"missing: restricted access"))),AND(IF(metadata!C572="",FALSE,ISNUMBER(VALUE(metadata!C572))),metadata!C572&gt;0))</f>
        <v>0</v>
      </c>
      <c r="X572">
        <f>AND(IF(metadata!D572="",FALSE,TRUE),exact(metadata!D572,"weeks"))</f>
        <v>0</v>
      </c>
      <c r="Y572">
        <f>AND(IF(metadata!E572="",FALSE,TRUE),exact(metadata!E572,"urban biome"))</f>
        <v>0</v>
      </c>
      <c r="Z572">
        <f>AND(IF(metadata!F572="",FALSE,TRUE),exact(metadata!F572,"animal-associated habitat"))</f>
        <v>0</v>
      </c>
      <c r="AA572">
        <f>AND(IF(metadata!G572="",FALSE,TRUE),exact(metadata!G572,"mouse"))</f>
        <v>0</v>
      </c>
      <c r="AB572">
        <f>AND(IF(metadata!H572="",FALSE,TRUE),exact(metadata!H572,"Mus musculus"))</f>
        <v>0</v>
      </c>
      <c r="AC572">
        <f>AND(IF(metadata!I572="",FALSE,TRUE),exact(metadata!I572,"10090"))</f>
        <v>0</v>
      </c>
      <c r="AD572">
        <f>OR(AND(IF(metadata!J572="",FALSE,TRUE),OR(exact(metadata!J572,"not applicable"),exact(metadata!J572,"missing: not collected"),exact(metadata!J572,"missing: not provided"),exact(metadata!J572,"missing: restricted access"))),AND(IF(metadata!J572="",FALSE,ISNUMBER(VALUE(metadata!J572))),metadata!J572&gt;0))</f>
        <v>0</v>
      </c>
      <c r="AE572">
        <f>AND(IF(metadata!K572="",FALSE,TRUE),exact(metadata!K572,"g"))</f>
        <v>0</v>
      </c>
    </row>
    <row r="573" spans="1:31">
      <c r="A573" s="5">
        <f>IF(B573=" "," ",HYPERLINK(CONCATENATE("#metadata!",ADDRESS(INDEX($Q$2:$Q$1001,MATCH(ROWS($O$2:O573),$O$2:$O$1001,0),0),1)),INDEX($T$2:$T$1001,MATCH(ROWS($O$2:O573),$O$2:$O$1001,0),0)))</f>
        <v>0</v>
      </c>
      <c r="B573" s="4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4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4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4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4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4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4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4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4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4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OR(AND(IF(metadata!C573="",FALSE,TRUE),OR(exact(metadata!C573,"not applicable"),exact(metadata!C573,"missing: not collected"),exact(metadata!C573,"missing: not provided"),exact(metadata!C573,"missing: restricted access"))),AND(IF(metadata!C573="",FALSE,ISNUMBER(VALUE(metadata!C573))),metadata!C573&gt;0))</f>
        <v>0</v>
      </c>
      <c r="X573">
        <f>AND(IF(metadata!D573="",FALSE,TRUE),exact(metadata!D573,"weeks"))</f>
        <v>0</v>
      </c>
      <c r="Y573">
        <f>AND(IF(metadata!E573="",FALSE,TRUE),exact(metadata!E573,"urban biome"))</f>
        <v>0</v>
      </c>
      <c r="Z573">
        <f>AND(IF(metadata!F573="",FALSE,TRUE),exact(metadata!F573,"animal-associated habitat"))</f>
        <v>0</v>
      </c>
      <c r="AA573">
        <f>AND(IF(metadata!G573="",FALSE,TRUE),exact(metadata!G573,"mouse"))</f>
        <v>0</v>
      </c>
      <c r="AB573">
        <f>AND(IF(metadata!H573="",FALSE,TRUE),exact(metadata!H573,"Mus musculus"))</f>
        <v>0</v>
      </c>
      <c r="AC573">
        <f>AND(IF(metadata!I573="",FALSE,TRUE),exact(metadata!I573,"10090"))</f>
        <v>0</v>
      </c>
      <c r="AD573">
        <f>OR(AND(IF(metadata!J573="",FALSE,TRUE),OR(exact(metadata!J573,"not applicable"),exact(metadata!J573,"missing: not collected"),exact(metadata!J573,"missing: not provided"),exact(metadata!J573,"missing: restricted access"))),AND(IF(metadata!J573="",FALSE,ISNUMBER(VALUE(metadata!J573))),metadata!J573&gt;0))</f>
        <v>0</v>
      </c>
      <c r="AE573">
        <f>AND(IF(metadata!K573="",FALSE,TRUE),exact(metadata!K573,"g"))</f>
        <v>0</v>
      </c>
    </row>
    <row r="574" spans="1:31">
      <c r="A574" s="5">
        <f>IF(B574=" "," ",HYPERLINK(CONCATENATE("#metadata!",ADDRESS(INDEX($Q$2:$Q$1001,MATCH(ROWS($O$2:O574),$O$2:$O$1001,0),0),1)),INDEX($T$2:$T$1001,MATCH(ROWS($O$2:O574),$O$2:$O$1001,0),0)))</f>
        <v>0</v>
      </c>
      <c r="B574" s="4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4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4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4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4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4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4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4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4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4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OR(AND(IF(metadata!C574="",FALSE,TRUE),OR(exact(metadata!C574,"not applicable"),exact(metadata!C574,"missing: not collected"),exact(metadata!C574,"missing: not provided"),exact(metadata!C574,"missing: restricted access"))),AND(IF(metadata!C574="",FALSE,ISNUMBER(VALUE(metadata!C574))),metadata!C574&gt;0))</f>
        <v>0</v>
      </c>
      <c r="X574">
        <f>AND(IF(metadata!D574="",FALSE,TRUE),exact(metadata!D574,"weeks"))</f>
        <v>0</v>
      </c>
      <c r="Y574">
        <f>AND(IF(metadata!E574="",FALSE,TRUE),exact(metadata!E574,"urban biome"))</f>
        <v>0</v>
      </c>
      <c r="Z574">
        <f>AND(IF(metadata!F574="",FALSE,TRUE),exact(metadata!F574,"animal-associated habitat"))</f>
        <v>0</v>
      </c>
      <c r="AA574">
        <f>AND(IF(metadata!G574="",FALSE,TRUE),exact(metadata!G574,"mouse"))</f>
        <v>0</v>
      </c>
      <c r="AB574">
        <f>AND(IF(metadata!H574="",FALSE,TRUE),exact(metadata!H574,"Mus musculus"))</f>
        <v>0</v>
      </c>
      <c r="AC574">
        <f>AND(IF(metadata!I574="",FALSE,TRUE),exact(metadata!I574,"10090"))</f>
        <v>0</v>
      </c>
      <c r="AD574">
        <f>OR(AND(IF(metadata!J574="",FALSE,TRUE),OR(exact(metadata!J574,"not applicable"),exact(metadata!J574,"missing: not collected"),exact(metadata!J574,"missing: not provided"),exact(metadata!J574,"missing: restricted access"))),AND(IF(metadata!J574="",FALSE,ISNUMBER(VALUE(metadata!J574))),metadata!J574&gt;0))</f>
        <v>0</v>
      </c>
      <c r="AE574">
        <f>AND(IF(metadata!K574="",FALSE,TRUE),exact(metadata!K574,"g"))</f>
        <v>0</v>
      </c>
    </row>
    <row r="575" spans="1:31">
      <c r="A575" s="5">
        <f>IF(B575=" "," ",HYPERLINK(CONCATENATE("#metadata!",ADDRESS(INDEX($Q$2:$Q$1001,MATCH(ROWS($O$2:O575),$O$2:$O$1001,0),0),1)),INDEX($T$2:$T$1001,MATCH(ROWS($O$2:O575),$O$2:$O$1001,0),0)))</f>
        <v>0</v>
      </c>
      <c r="B575" s="4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4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4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4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4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4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4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4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4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4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OR(AND(IF(metadata!C575="",FALSE,TRUE),OR(exact(metadata!C575,"not applicable"),exact(metadata!C575,"missing: not collected"),exact(metadata!C575,"missing: not provided"),exact(metadata!C575,"missing: restricted access"))),AND(IF(metadata!C575="",FALSE,ISNUMBER(VALUE(metadata!C575))),metadata!C575&gt;0))</f>
        <v>0</v>
      </c>
      <c r="X575">
        <f>AND(IF(metadata!D575="",FALSE,TRUE),exact(metadata!D575,"weeks"))</f>
        <v>0</v>
      </c>
      <c r="Y575">
        <f>AND(IF(metadata!E575="",FALSE,TRUE),exact(metadata!E575,"urban biome"))</f>
        <v>0</v>
      </c>
      <c r="Z575">
        <f>AND(IF(metadata!F575="",FALSE,TRUE),exact(metadata!F575,"animal-associated habitat"))</f>
        <v>0</v>
      </c>
      <c r="AA575">
        <f>AND(IF(metadata!G575="",FALSE,TRUE),exact(metadata!G575,"mouse"))</f>
        <v>0</v>
      </c>
      <c r="AB575">
        <f>AND(IF(metadata!H575="",FALSE,TRUE),exact(metadata!H575,"Mus musculus"))</f>
        <v>0</v>
      </c>
      <c r="AC575">
        <f>AND(IF(metadata!I575="",FALSE,TRUE),exact(metadata!I575,"10090"))</f>
        <v>0</v>
      </c>
      <c r="AD575">
        <f>OR(AND(IF(metadata!J575="",FALSE,TRUE),OR(exact(metadata!J575,"not applicable"),exact(metadata!J575,"missing: not collected"),exact(metadata!J575,"missing: not provided"),exact(metadata!J575,"missing: restricted access"))),AND(IF(metadata!J575="",FALSE,ISNUMBER(VALUE(metadata!J575))),metadata!J575&gt;0))</f>
        <v>0</v>
      </c>
      <c r="AE575">
        <f>AND(IF(metadata!K575="",FALSE,TRUE),exact(metadata!K575,"g"))</f>
        <v>0</v>
      </c>
    </row>
    <row r="576" spans="1:31">
      <c r="A576" s="5">
        <f>IF(B576=" "," ",HYPERLINK(CONCATENATE("#metadata!",ADDRESS(INDEX($Q$2:$Q$1001,MATCH(ROWS($O$2:O576),$O$2:$O$1001,0),0),1)),INDEX($T$2:$T$1001,MATCH(ROWS($O$2:O576),$O$2:$O$1001,0),0)))</f>
        <v>0</v>
      </c>
      <c r="B576" s="4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4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4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4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4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4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4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4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4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4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OR(AND(IF(metadata!C576="",FALSE,TRUE),OR(exact(metadata!C576,"not applicable"),exact(metadata!C576,"missing: not collected"),exact(metadata!C576,"missing: not provided"),exact(metadata!C576,"missing: restricted access"))),AND(IF(metadata!C576="",FALSE,ISNUMBER(VALUE(metadata!C576))),metadata!C576&gt;0))</f>
        <v>0</v>
      </c>
      <c r="X576">
        <f>AND(IF(metadata!D576="",FALSE,TRUE),exact(metadata!D576,"weeks"))</f>
        <v>0</v>
      </c>
      <c r="Y576">
        <f>AND(IF(metadata!E576="",FALSE,TRUE),exact(metadata!E576,"urban biome"))</f>
        <v>0</v>
      </c>
      <c r="Z576">
        <f>AND(IF(metadata!F576="",FALSE,TRUE),exact(metadata!F576,"animal-associated habitat"))</f>
        <v>0</v>
      </c>
      <c r="AA576">
        <f>AND(IF(metadata!G576="",FALSE,TRUE),exact(metadata!G576,"mouse"))</f>
        <v>0</v>
      </c>
      <c r="AB576">
        <f>AND(IF(metadata!H576="",FALSE,TRUE),exact(metadata!H576,"Mus musculus"))</f>
        <v>0</v>
      </c>
      <c r="AC576">
        <f>AND(IF(metadata!I576="",FALSE,TRUE),exact(metadata!I576,"10090"))</f>
        <v>0</v>
      </c>
      <c r="AD576">
        <f>OR(AND(IF(metadata!J576="",FALSE,TRUE),OR(exact(metadata!J576,"not applicable"),exact(metadata!J576,"missing: not collected"),exact(metadata!J576,"missing: not provided"),exact(metadata!J576,"missing: restricted access"))),AND(IF(metadata!J576="",FALSE,ISNUMBER(VALUE(metadata!J576))),metadata!J576&gt;0))</f>
        <v>0</v>
      </c>
      <c r="AE576">
        <f>AND(IF(metadata!K576="",FALSE,TRUE),exact(metadata!K576,"g"))</f>
        <v>0</v>
      </c>
    </row>
    <row r="577" spans="1:31">
      <c r="A577" s="5">
        <f>IF(B577=" "," ",HYPERLINK(CONCATENATE("#metadata!",ADDRESS(INDEX($Q$2:$Q$1001,MATCH(ROWS($O$2:O577),$O$2:$O$1001,0),0),1)),INDEX($T$2:$T$1001,MATCH(ROWS($O$2:O577),$O$2:$O$1001,0),0)))</f>
        <v>0</v>
      </c>
      <c r="B577" s="4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4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4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4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4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4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4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4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4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4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OR(AND(IF(metadata!C577="",FALSE,TRUE),OR(exact(metadata!C577,"not applicable"),exact(metadata!C577,"missing: not collected"),exact(metadata!C577,"missing: not provided"),exact(metadata!C577,"missing: restricted access"))),AND(IF(metadata!C577="",FALSE,ISNUMBER(VALUE(metadata!C577))),metadata!C577&gt;0))</f>
        <v>0</v>
      </c>
      <c r="X577">
        <f>AND(IF(metadata!D577="",FALSE,TRUE),exact(metadata!D577,"weeks"))</f>
        <v>0</v>
      </c>
      <c r="Y577">
        <f>AND(IF(metadata!E577="",FALSE,TRUE),exact(metadata!E577,"urban biome"))</f>
        <v>0</v>
      </c>
      <c r="Z577">
        <f>AND(IF(metadata!F577="",FALSE,TRUE),exact(metadata!F577,"animal-associated habitat"))</f>
        <v>0</v>
      </c>
      <c r="AA577">
        <f>AND(IF(metadata!G577="",FALSE,TRUE),exact(metadata!G577,"mouse"))</f>
        <v>0</v>
      </c>
      <c r="AB577">
        <f>AND(IF(metadata!H577="",FALSE,TRUE),exact(metadata!H577,"Mus musculus"))</f>
        <v>0</v>
      </c>
      <c r="AC577">
        <f>AND(IF(metadata!I577="",FALSE,TRUE),exact(metadata!I577,"10090"))</f>
        <v>0</v>
      </c>
      <c r="AD577">
        <f>OR(AND(IF(metadata!J577="",FALSE,TRUE),OR(exact(metadata!J577,"not applicable"),exact(metadata!J577,"missing: not collected"),exact(metadata!J577,"missing: not provided"),exact(metadata!J577,"missing: restricted access"))),AND(IF(metadata!J577="",FALSE,ISNUMBER(VALUE(metadata!J577))),metadata!J577&gt;0))</f>
        <v>0</v>
      </c>
      <c r="AE577">
        <f>AND(IF(metadata!K577="",FALSE,TRUE),exact(metadata!K577,"g"))</f>
        <v>0</v>
      </c>
    </row>
    <row r="578" spans="1:31">
      <c r="A578" s="5">
        <f>IF(B578=" "," ",HYPERLINK(CONCATENATE("#metadata!",ADDRESS(INDEX($Q$2:$Q$1001,MATCH(ROWS($O$2:O578),$O$2:$O$1001,0),0),1)),INDEX($T$2:$T$1001,MATCH(ROWS($O$2:O578),$O$2:$O$1001,0),0)))</f>
        <v>0</v>
      </c>
      <c r="B578" s="4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4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4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4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4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4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4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4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4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4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OR(AND(IF(metadata!C578="",FALSE,TRUE),OR(exact(metadata!C578,"not applicable"),exact(metadata!C578,"missing: not collected"),exact(metadata!C578,"missing: not provided"),exact(metadata!C578,"missing: restricted access"))),AND(IF(metadata!C578="",FALSE,ISNUMBER(VALUE(metadata!C578))),metadata!C578&gt;0))</f>
        <v>0</v>
      </c>
      <c r="X578">
        <f>AND(IF(metadata!D578="",FALSE,TRUE),exact(metadata!D578,"weeks"))</f>
        <v>0</v>
      </c>
      <c r="Y578">
        <f>AND(IF(metadata!E578="",FALSE,TRUE),exact(metadata!E578,"urban biome"))</f>
        <v>0</v>
      </c>
      <c r="Z578">
        <f>AND(IF(metadata!F578="",FALSE,TRUE),exact(metadata!F578,"animal-associated habitat"))</f>
        <v>0</v>
      </c>
      <c r="AA578">
        <f>AND(IF(metadata!G578="",FALSE,TRUE),exact(metadata!G578,"mouse"))</f>
        <v>0</v>
      </c>
      <c r="AB578">
        <f>AND(IF(metadata!H578="",FALSE,TRUE),exact(metadata!H578,"Mus musculus"))</f>
        <v>0</v>
      </c>
      <c r="AC578">
        <f>AND(IF(metadata!I578="",FALSE,TRUE),exact(metadata!I578,"10090"))</f>
        <v>0</v>
      </c>
      <c r="AD578">
        <f>OR(AND(IF(metadata!J578="",FALSE,TRUE),OR(exact(metadata!J578,"not applicable"),exact(metadata!J578,"missing: not collected"),exact(metadata!J578,"missing: not provided"),exact(metadata!J578,"missing: restricted access"))),AND(IF(metadata!J578="",FALSE,ISNUMBER(VALUE(metadata!J578))),metadata!J578&gt;0))</f>
        <v>0</v>
      </c>
      <c r="AE578">
        <f>AND(IF(metadata!K578="",FALSE,TRUE),exact(metadata!K578,"g"))</f>
        <v>0</v>
      </c>
    </row>
    <row r="579" spans="1:31">
      <c r="A579" s="5">
        <f>IF(B579=" "," ",HYPERLINK(CONCATENATE("#metadata!",ADDRESS(INDEX($Q$2:$Q$1001,MATCH(ROWS($O$2:O579),$O$2:$O$1001,0),0),1)),INDEX($T$2:$T$1001,MATCH(ROWS($O$2:O579),$O$2:$O$1001,0),0)))</f>
        <v>0</v>
      </c>
      <c r="B579" s="4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4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4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4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4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4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4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4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4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4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OR(AND(IF(metadata!C579="",FALSE,TRUE),OR(exact(metadata!C579,"not applicable"),exact(metadata!C579,"missing: not collected"),exact(metadata!C579,"missing: not provided"),exact(metadata!C579,"missing: restricted access"))),AND(IF(metadata!C579="",FALSE,ISNUMBER(VALUE(metadata!C579))),metadata!C579&gt;0))</f>
        <v>0</v>
      </c>
      <c r="X579">
        <f>AND(IF(metadata!D579="",FALSE,TRUE),exact(metadata!D579,"weeks"))</f>
        <v>0</v>
      </c>
      <c r="Y579">
        <f>AND(IF(metadata!E579="",FALSE,TRUE),exact(metadata!E579,"urban biome"))</f>
        <v>0</v>
      </c>
      <c r="Z579">
        <f>AND(IF(metadata!F579="",FALSE,TRUE),exact(metadata!F579,"animal-associated habitat"))</f>
        <v>0</v>
      </c>
      <c r="AA579">
        <f>AND(IF(metadata!G579="",FALSE,TRUE),exact(metadata!G579,"mouse"))</f>
        <v>0</v>
      </c>
      <c r="AB579">
        <f>AND(IF(metadata!H579="",FALSE,TRUE),exact(metadata!H579,"Mus musculus"))</f>
        <v>0</v>
      </c>
      <c r="AC579">
        <f>AND(IF(metadata!I579="",FALSE,TRUE),exact(metadata!I579,"10090"))</f>
        <v>0</v>
      </c>
      <c r="AD579">
        <f>OR(AND(IF(metadata!J579="",FALSE,TRUE),OR(exact(metadata!J579,"not applicable"),exact(metadata!J579,"missing: not collected"),exact(metadata!J579,"missing: not provided"),exact(metadata!J579,"missing: restricted access"))),AND(IF(metadata!J579="",FALSE,ISNUMBER(VALUE(metadata!J579))),metadata!J579&gt;0))</f>
        <v>0</v>
      </c>
      <c r="AE579">
        <f>AND(IF(metadata!K579="",FALSE,TRUE),exact(metadata!K579,"g"))</f>
        <v>0</v>
      </c>
    </row>
    <row r="580" spans="1:31">
      <c r="A580" s="5">
        <f>IF(B580=" "," ",HYPERLINK(CONCATENATE("#metadata!",ADDRESS(INDEX($Q$2:$Q$1001,MATCH(ROWS($O$2:O580),$O$2:$O$1001,0),0),1)),INDEX($T$2:$T$1001,MATCH(ROWS($O$2:O580),$O$2:$O$1001,0),0)))</f>
        <v>0</v>
      </c>
      <c r="B580" s="4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4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4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4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4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4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4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4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4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4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OR(AND(IF(metadata!C580="",FALSE,TRUE),OR(exact(metadata!C580,"not applicable"),exact(metadata!C580,"missing: not collected"),exact(metadata!C580,"missing: not provided"),exact(metadata!C580,"missing: restricted access"))),AND(IF(metadata!C580="",FALSE,ISNUMBER(VALUE(metadata!C580))),metadata!C580&gt;0))</f>
        <v>0</v>
      </c>
      <c r="X580">
        <f>AND(IF(metadata!D580="",FALSE,TRUE),exact(metadata!D580,"weeks"))</f>
        <v>0</v>
      </c>
      <c r="Y580">
        <f>AND(IF(metadata!E580="",FALSE,TRUE),exact(metadata!E580,"urban biome"))</f>
        <v>0</v>
      </c>
      <c r="Z580">
        <f>AND(IF(metadata!F580="",FALSE,TRUE),exact(metadata!F580,"animal-associated habitat"))</f>
        <v>0</v>
      </c>
      <c r="AA580">
        <f>AND(IF(metadata!G580="",FALSE,TRUE),exact(metadata!G580,"mouse"))</f>
        <v>0</v>
      </c>
      <c r="AB580">
        <f>AND(IF(metadata!H580="",FALSE,TRUE),exact(metadata!H580,"Mus musculus"))</f>
        <v>0</v>
      </c>
      <c r="AC580">
        <f>AND(IF(metadata!I580="",FALSE,TRUE),exact(metadata!I580,"10090"))</f>
        <v>0</v>
      </c>
      <c r="AD580">
        <f>OR(AND(IF(metadata!J580="",FALSE,TRUE),OR(exact(metadata!J580,"not applicable"),exact(metadata!J580,"missing: not collected"),exact(metadata!J580,"missing: not provided"),exact(metadata!J580,"missing: restricted access"))),AND(IF(metadata!J580="",FALSE,ISNUMBER(VALUE(metadata!J580))),metadata!J580&gt;0))</f>
        <v>0</v>
      </c>
      <c r="AE580">
        <f>AND(IF(metadata!K580="",FALSE,TRUE),exact(metadata!K580,"g"))</f>
        <v>0</v>
      </c>
    </row>
    <row r="581" spans="1:31">
      <c r="A581" s="5">
        <f>IF(B581=" "," ",HYPERLINK(CONCATENATE("#metadata!",ADDRESS(INDEX($Q$2:$Q$1001,MATCH(ROWS($O$2:O581),$O$2:$O$1001,0),0),1)),INDEX($T$2:$T$1001,MATCH(ROWS($O$2:O581),$O$2:$O$1001,0),0)))</f>
        <v>0</v>
      </c>
      <c r="B581" s="4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4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4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4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4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4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4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4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4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4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OR(AND(IF(metadata!C581="",FALSE,TRUE),OR(exact(metadata!C581,"not applicable"),exact(metadata!C581,"missing: not collected"),exact(metadata!C581,"missing: not provided"),exact(metadata!C581,"missing: restricted access"))),AND(IF(metadata!C581="",FALSE,ISNUMBER(VALUE(metadata!C581))),metadata!C581&gt;0))</f>
        <v>0</v>
      </c>
      <c r="X581">
        <f>AND(IF(metadata!D581="",FALSE,TRUE),exact(metadata!D581,"weeks"))</f>
        <v>0</v>
      </c>
      <c r="Y581">
        <f>AND(IF(metadata!E581="",FALSE,TRUE),exact(metadata!E581,"urban biome"))</f>
        <v>0</v>
      </c>
      <c r="Z581">
        <f>AND(IF(metadata!F581="",FALSE,TRUE),exact(metadata!F581,"animal-associated habitat"))</f>
        <v>0</v>
      </c>
      <c r="AA581">
        <f>AND(IF(metadata!G581="",FALSE,TRUE),exact(metadata!G581,"mouse"))</f>
        <v>0</v>
      </c>
      <c r="AB581">
        <f>AND(IF(metadata!H581="",FALSE,TRUE),exact(metadata!H581,"Mus musculus"))</f>
        <v>0</v>
      </c>
      <c r="AC581">
        <f>AND(IF(metadata!I581="",FALSE,TRUE),exact(metadata!I581,"10090"))</f>
        <v>0</v>
      </c>
      <c r="AD581">
        <f>OR(AND(IF(metadata!J581="",FALSE,TRUE),OR(exact(metadata!J581,"not applicable"),exact(metadata!J581,"missing: not collected"),exact(metadata!J581,"missing: not provided"),exact(metadata!J581,"missing: restricted access"))),AND(IF(metadata!J581="",FALSE,ISNUMBER(VALUE(metadata!J581))),metadata!J581&gt;0))</f>
        <v>0</v>
      </c>
      <c r="AE581">
        <f>AND(IF(metadata!K581="",FALSE,TRUE),exact(metadata!K581,"g"))</f>
        <v>0</v>
      </c>
    </row>
    <row r="582" spans="1:31">
      <c r="A582" s="5">
        <f>IF(B582=" "," ",HYPERLINK(CONCATENATE("#metadata!",ADDRESS(INDEX($Q$2:$Q$1001,MATCH(ROWS($O$2:O582),$O$2:$O$1001,0),0),1)),INDEX($T$2:$T$1001,MATCH(ROWS($O$2:O582),$O$2:$O$1001,0),0)))</f>
        <v>0</v>
      </c>
      <c r="B582" s="4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4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4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4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4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4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4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4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4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4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OR(AND(IF(metadata!C582="",FALSE,TRUE),OR(exact(metadata!C582,"not applicable"),exact(metadata!C582,"missing: not collected"),exact(metadata!C582,"missing: not provided"),exact(metadata!C582,"missing: restricted access"))),AND(IF(metadata!C582="",FALSE,ISNUMBER(VALUE(metadata!C582))),metadata!C582&gt;0))</f>
        <v>0</v>
      </c>
      <c r="X582">
        <f>AND(IF(metadata!D582="",FALSE,TRUE),exact(metadata!D582,"weeks"))</f>
        <v>0</v>
      </c>
      <c r="Y582">
        <f>AND(IF(metadata!E582="",FALSE,TRUE),exact(metadata!E582,"urban biome"))</f>
        <v>0</v>
      </c>
      <c r="Z582">
        <f>AND(IF(metadata!F582="",FALSE,TRUE),exact(metadata!F582,"animal-associated habitat"))</f>
        <v>0</v>
      </c>
      <c r="AA582">
        <f>AND(IF(metadata!G582="",FALSE,TRUE),exact(metadata!G582,"mouse"))</f>
        <v>0</v>
      </c>
      <c r="AB582">
        <f>AND(IF(metadata!H582="",FALSE,TRUE),exact(metadata!H582,"Mus musculus"))</f>
        <v>0</v>
      </c>
      <c r="AC582">
        <f>AND(IF(metadata!I582="",FALSE,TRUE),exact(metadata!I582,"10090"))</f>
        <v>0</v>
      </c>
      <c r="AD582">
        <f>OR(AND(IF(metadata!J582="",FALSE,TRUE),OR(exact(metadata!J582,"not applicable"),exact(metadata!J582,"missing: not collected"),exact(metadata!J582,"missing: not provided"),exact(metadata!J582,"missing: restricted access"))),AND(IF(metadata!J582="",FALSE,ISNUMBER(VALUE(metadata!J582))),metadata!J582&gt;0))</f>
        <v>0</v>
      </c>
      <c r="AE582">
        <f>AND(IF(metadata!K582="",FALSE,TRUE),exact(metadata!K582,"g"))</f>
        <v>0</v>
      </c>
    </row>
    <row r="583" spans="1:31">
      <c r="A583" s="5">
        <f>IF(B583=" "," ",HYPERLINK(CONCATENATE("#metadata!",ADDRESS(INDEX($Q$2:$Q$1001,MATCH(ROWS($O$2:O583),$O$2:$O$1001,0),0),1)),INDEX($T$2:$T$1001,MATCH(ROWS($O$2:O583),$O$2:$O$1001,0),0)))</f>
        <v>0</v>
      </c>
      <c r="B583" s="4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4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4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4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4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4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4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4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4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4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OR(AND(IF(metadata!C583="",FALSE,TRUE),OR(exact(metadata!C583,"not applicable"),exact(metadata!C583,"missing: not collected"),exact(metadata!C583,"missing: not provided"),exact(metadata!C583,"missing: restricted access"))),AND(IF(metadata!C583="",FALSE,ISNUMBER(VALUE(metadata!C583))),metadata!C583&gt;0))</f>
        <v>0</v>
      </c>
      <c r="X583">
        <f>AND(IF(metadata!D583="",FALSE,TRUE),exact(metadata!D583,"weeks"))</f>
        <v>0</v>
      </c>
      <c r="Y583">
        <f>AND(IF(metadata!E583="",FALSE,TRUE),exact(metadata!E583,"urban biome"))</f>
        <v>0</v>
      </c>
      <c r="Z583">
        <f>AND(IF(metadata!F583="",FALSE,TRUE),exact(metadata!F583,"animal-associated habitat"))</f>
        <v>0</v>
      </c>
      <c r="AA583">
        <f>AND(IF(metadata!G583="",FALSE,TRUE),exact(metadata!G583,"mouse"))</f>
        <v>0</v>
      </c>
      <c r="AB583">
        <f>AND(IF(metadata!H583="",FALSE,TRUE),exact(metadata!H583,"Mus musculus"))</f>
        <v>0</v>
      </c>
      <c r="AC583">
        <f>AND(IF(metadata!I583="",FALSE,TRUE),exact(metadata!I583,"10090"))</f>
        <v>0</v>
      </c>
      <c r="AD583">
        <f>OR(AND(IF(metadata!J583="",FALSE,TRUE),OR(exact(metadata!J583,"not applicable"),exact(metadata!J583,"missing: not collected"),exact(metadata!J583,"missing: not provided"),exact(metadata!J583,"missing: restricted access"))),AND(IF(metadata!J583="",FALSE,ISNUMBER(VALUE(metadata!J583))),metadata!J583&gt;0))</f>
        <v>0</v>
      </c>
      <c r="AE583">
        <f>AND(IF(metadata!K583="",FALSE,TRUE),exact(metadata!K583,"g"))</f>
        <v>0</v>
      </c>
    </row>
    <row r="584" spans="1:31">
      <c r="A584" s="5">
        <f>IF(B584=" "," ",HYPERLINK(CONCATENATE("#metadata!",ADDRESS(INDEX($Q$2:$Q$1001,MATCH(ROWS($O$2:O584),$O$2:$O$1001,0),0),1)),INDEX($T$2:$T$1001,MATCH(ROWS($O$2:O584),$O$2:$O$1001,0),0)))</f>
        <v>0</v>
      </c>
      <c r="B584" s="4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4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4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4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4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4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4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4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4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4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OR(AND(IF(metadata!C584="",FALSE,TRUE),OR(exact(metadata!C584,"not applicable"),exact(metadata!C584,"missing: not collected"),exact(metadata!C584,"missing: not provided"),exact(metadata!C584,"missing: restricted access"))),AND(IF(metadata!C584="",FALSE,ISNUMBER(VALUE(metadata!C584))),metadata!C584&gt;0))</f>
        <v>0</v>
      </c>
      <c r="X584">
        <f>AND(IF(metadata!D584="",FALSE,TRUE),exact(metadata!D584,"weeks"))</f>
        <v>0</v>
      </c>
      <c r="Y584">
        <f>AND(IF(metadata!E584="",FALSE,TRUE),exact(metadata!E584,"urban biome"))</f>
        <v>0</v>
      </c>
      <c r="Z584">
        <f>AND(IF(metadata!F584="",FALSE,TRUE),exact(metadata!F584,"animal-associated habitat"))</f>
        <v>0</v>
      </c>
      <c r="AA584">
        <f>AND(IF(metadata!G584="",FALSE,TRUE),exact(metadata!G584,"mouse"))</f>
        <v>0</v>
      </c>
      <c r="AB584">
        <f>AND(IF(metadata!H584="",FALSE,TRUE),exact(metadata!H584,"Mus musculus"))</f>
        <v>0</v>
      </c>
      <c r="AC584">
        <f>AND(IF(metadata!I584="",FALSE,TRUE),exact(metadata!I584,"10090"))</f>
        <v>0</v>
      </c>
      <c r="AD584">
        <f>OR(AND(IF(metadata!J584="",FALSE,TRUE),OR(exact(metadata!J584,"not applicable"),exact(metadata!J584,"missing: not collected"),exact(metadata!J584,"missing: not provided"),exact(metadata!J584,"missing: restricted access"))),AND(IF(metadata!J584="",FALSE,ISNUMBER(VALUE(metadata!J584))),metadata!J584&gt;0))</f>
        <v>0</v>
      </c>
      <c r="AE584">
        <f>AND(IF(metadata!K584="",FALSE,TRUE),exact(metadata!K584,"g"))</f>
        <v>0</v>
      </c>
    </row>
    <row r="585" spans="1:31">
      <c r="A585" s="5">
        <f>IF(B585=" "," ",HYPERLINK(CONCATENATE("#metadata!",ADDRESS(INDEX($Q$2:$Q$1001,MATCH(ROWS($O$2:O585),$O$2:$O$1001,0),0),1)),INDEX($T$2:$T$1001,MATCH(ROWS($O$2:O585),$O$2:$O$1001,0),0)))</f>
        <v>0</v>
      </c>
      <c r="B585" s="4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4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4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4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4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4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4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4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4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4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OR(AND(IF(metadata!C585="",FALSE,TRUE),OR(exact(metadata!C585,"not applicable"),exact(metadata!C585,"missing: not collected"),exact(metadata!C585,"missing: not provided"),exact(metadata!C585,"missing: restricted access"))),AND(IF(metadata!C585="",FALSE,ISNUMBER(VALUE(metadata!C585))),metadata!C585&gt;0))</f>
        <v>0</v>
      </c>
      <c r="X585">
        <f>AND(IF(metadata!D585="",FALSE,TRUE),exact(metadata!D585,"weeks"))</f>
        <v>0</v>
      </c>
      <c r="Y585">
        <f>AND(IF(metadata!E585="",FALSE,TRUE),exact(metadata!E585,"urban biome"))</f>
        <v>0</v>
      </c>
      <c r="Z585">
        <f>AND(IF(metadata!F585="",FALSE,TRUE),exact(metadata!F585,"animal-associated habitat"))</f>
        <v>0</v>
      </c>
      <c r="AA585">
        <f>AND(IF(metadata!G585="",FALSE,TRUE),exact(metadata!G585,"mouse"))</f>
        <v>0</v>
      </c>
      <c r="AB585">
        <f>AND(IF(metadata!H585="",FALSE,TRUE),exact(metadata!H585,"Mus musculus"))</f>
        <v>0</v>
      </c>
      <c r="AC585">
        <f>AND(IF(metadata!I585="",FALSE,TRUE),exact(metadata!I585,"10090"))</f>
        <v>0</v>
      </c>
      <c r="AD585">
        <f>OR(AND(IF(metadata!J585="",FALSE,TRUE),OR(exact(metadata!J585,"not applicable"),exact(metadata!J585,"missing: not collected"),exact(metadata!J585,"missing: not provided"),exact(metadata!J585,"missing: restricted access"))),AND(IF(metadata!J585="",FALSE,ISNUMBER(VALUE(metadata!J585))),metadata!J585&gt;0))</f>
        <v>0</v>
      </c>
      <c r="AE585">
        <f>AND(IF(metadata!K585="",FALSE,TRUE),exact(metadata!K585,"g"))</f>
        <v>0</v>
      </c>
    </row>
    <row r="586" spans="1:31">
      <c r="A586" s="5">
        <f>IF(B586=" "," ",HYPERLINK(CONCATENATE("#metadata!",ADDRESS(INDEX($Q$2:$Q$1001,MATCH(ROWS($O$2:O586),$O$2:$O$1001,0),0),1)),INDEX($T$2:$T$1001,MATCH(ROWS($O$2:O586),$O$2:$O$1001,0),0)))</f>
        <v>0</v>
      </c>
      <c r="B586" s="4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4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4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4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4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4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4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4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4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4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OR(AND(IF(metadata!C586="",FALSE,TRUE),OR(exact(metadata!C586,"not applicable"),exact(metadata!C586,"missing: not collected"),exact(metadata!C586,"missing: not provided"),exact(metadata!C586,"missing: restricted access"))),AND(IF(metadata!C586="",FALSE,ISNUMBER(VALUE(metadata!C586))),metadata!C586&gt;0))</f>
        <v>0</v>
      </c>
      <c r="X586">
        <f>AND(IF(metadata!D586="",FALSE,TRUE),exact(metadata!D586,"weeks"))</f>
        <v>0</v>
      </c>
      <c r="Y586">
        <f>AND(IF(metadata!E586="",FALSE,TRUE),exact(metadata!E586,"urban biome"))</f>
        <v>0</v>
      </c>
      <c r="Z586">
        <f>AND(IF(metadata!F586="",FALSE,TRUE),exact(metadata!F586,"animal-associated habitat"))</f>
        <v>0</v>
      </c>
      <c r="AA586">
        <f>AND(IF(metadata!G586="",FALSE,TRUE),exact(metadata!G586,"mouse"))</f>
        <v>0</v>
      </c>
      <c r="AB586">
        <f>AND(IF(metadata!H586="",FALSE,TRUE),exact(metadata!H586,"Mus musculus"))</f>
        <v>0</v>
      </c>
      <c r="AC586">
        <f>AND(IF(metadata!I586="",FALSE,TRUE),exact(metadata!I586,"10090"))</f>
        <v>0</v>
      </c>
      <c r="AD586">
        <f>OR(AND(IF(metadata!J586="",FALSE,TRUE),OR(exact(metadata!J586,"not applicable"),exact(metadata!J586,"missing: not collected"),exact(metadata!J586,"missing: not provided"),exact(metadata!J586,"missing: restricted access"))),AND(IF(metadata!J586="",FALSE,ISNUMBER(VALUE(metadata!J586))),metadata!J586&gt;0))</f>
        <v>0</v>
      </c>
      <c r="AE586">
        <f>AND(IF(metadata!K586="",FALSE,TRUE),exact(metadata!K586,"g"))</f>
        <v>0</v>
      </c>
    </row>
    <row r="587" spans="1:31">
      <c r="A587" s="5">
        <f>IF(B587=" "," ",HYPERLINK(CONCATENATE("#metadata!",ADDRESS(INDEX($Q$2:$Q$1001,MATCH(ROWS($O$2:O587),$O$2:$O$1001,0),0),1)),INDEX($T$2:$T$1001,MATCH(ROWS($O$2:O587),$O$2:$O$1001,0),0)))</f>
        <v>0</v>
      </c>
      <c r="B587" s="4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4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4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4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4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4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4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4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4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4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OR(AND(IF(metadata!C587="",FALSE,TRUE),OR(exact(metadata!C587,"not applicable"),exact(metadata!C587,"missing: not collected"),exact(metadata!C587,"missing: not provided"),exact(metadata!C587,"missing: restricted access"))),AND(IF(metadata!C587="",FALSE,ISNUMBER(VALUE(metadata!C587))),metadata!C587&gt;0))</f>
        <v>0</v>
      </c>
      <c r="X587">
        <f>AND(IF(metadata!D587="",FALSE,TRUE),exact(metadata!D587,"weeks"))</f>
        <v>0</v>
      </c>
      <c r="Y587">
        <f>AND(IF(metadata!E587="",FALSE,TRUE),exact(metadata!E587,"urban biome"))</f>
        <v>0</v>
      </c>
      <c r="Z587">
        <f>AND(IF(metadata!F587="",FALSE,TRUE),exact(metadata!F587,"animal-associated habitat"))</f>
        <v>0</v>
      </c>
      <c r="AA587">
        <f>AND(IF(metadata!G587="",FALSE,TRUE),exact(metadata!G587,"mouse"))</f>
        <v>0</v>
      </c>
      <c r="AB587">
        <f>AND(IF(metadata!H587="",FALSE,TRUE),exact(metadata!H587,"Mus musculus"))</f>
        <v>0</v>
      </c>
      <c r="AC587">
        <f>AND(IF(metadata!I587="",FALSE,TRUE),exact(metadata!I587,"10090"))</f>
        <v>0</v>
      </c>
      <c r="AD587">
        <f>OR(AND(IF(metadata!J587="",FALSE,TRUE),OR(exact(metadata!J587,"not applicable"),exact(metadata!J587,"missing: not collected"),exact(metadata!J587,"missing: not provided"),exact(metadata!J587,"missing: restricted access"))),AND(IF(metadata!J587="",FALSE,ISNUMBER(VALUE(metadata!J587))),metadata!J587&gt;0))</f>
        <v>0</v>
      </c>
      <c r="AE587">
        <f>AND(IF(metadata!K587="",FALSE,TRUE),exact(metadata!K587,"g"))</f>
        <v>0</v>
      </c>
    </row>
    <row r="588" spans="1:31">
      <c r="A588" s="5">
        <f>IF(B588=" "," ",HYPERLINK(CONCATENATE("#metadata!",ADDRESS(INDEX($Q$2:$Q$1001,MATCH(ROWS($O$2:O588),$O$2:$O$1001,0),0),1)),INDEX($T$2:$T$1001,MATCH(ROWS($O$2:O588),$O$2:$O$1001,0),0)))</f>
        <v>0</v>
      </c>
      <c r="B588" s="4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4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4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4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4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4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4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4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4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4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OR(AND(IF(metadata!C588="",FALSE,TRUE),OR(exact(metadata!C588,"not applicable"),exact(metadata!C588,"missing: not collected"),exact(metadata!C588,"missing: not provided"),exact(metadata!C588,"missing: restricted access"))),AND(IF(metadata!C588="",FALSE,ISNUMBER(VALUE(metadata!C588))),metadata!C588&gt;0))</f>
        <v>0</v>
      </c>
      <c r="X588">
        <f>AND(IF(metadata!D588="",FALSE,TRUE),exact(metadata!D588,"weeks"))</f>
        <v>0</v>
      </c>
      <c r="Y588">
        <f>AND(IF(metadata!E588="",FALSE,TRUE),exact(metadata!E588,"urban biome"))</f>
        <v>0</v>
      </c>
      <c r="Z588">
        <f>AND(IF(metadata!F588="",FALSE,TRUE),exact(metadata!F588,"animal-associated habitat"))</f>
        <v>0</v>
      </c>
      <c r="AA588">
        <f>AND(IF(metadata!G588="",FALSE,TRUE),exact(metadata!G588,"mouse"))</f>
        <v>0</v>
      </c>
      <c r="AB588">
        <f>AND(IF(metadata!H588="",FALSE,TRUE),exact(metadata!H588,"Mus musculus"))</f>
        <v>0</v>
      </c>
      <c r="AC588">
        <f>AND(IF(metadata!I588="",FALSE,TRUE),exact(metadata!I588,"10090"))</f>
        <v>0</v>
      </c>
      <c r="AD588">
        <f>OR(AND(IF(metadata!J588="",FALSE,TRUE),OR(exact(metadata!J588,"not applicable"),exact(metadata!J588,"missing: not collected"),exact(metadata!J588,"missing: not provided"),exact(metadata!J588,"missing: restricted access"))),AND(IF(metadata!J588="",FALSE,ISNUMBER(VALUE(metadata!J588))),metadata!J588&gt;0))</f>
        <v>0</v>
      </c>
      <c r="AE588">
        <f>AND(IF(metadata!K588="",FALSE,TRUE),exact(metadata!K588,"g"))</f>
        <v>0</v>
      </c>
    </row>
    <row r="589" spans="1:31">
      <c r="A589" s="5">
        <f>IF(B589=" "," ",HYPERLINK(CONCATENATE("#metadata!",ADDRESS(INDEX($Q$2:$Q$1001,MATCH(ROWS($O$2:O589),$O$2:$O$1001,0),0),1)),INDEX($T$2:$T$1001,MATCH(ROWS($O$2:O589),$O$2:$O$1001,0),0)))</f>
        <v>0</v>
      </c>
      <c r="B589" s="4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4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4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4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4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4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4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4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4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4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OR(AND(IF(metadata!C589="",FALSE,TRUE),OR(exact(metadata!C589,"not applicable"),exact(metadata!C589,"missing: not collected"),exact(metadata!C589,"missing: not provided"),exact(metadata!C589,"missing: restricted access"))),AND(IF(metadata!C589="",FALSE,ISNUMBER(VALUE(metadata!C589))),metadata!C589&gt;0))</f>
        <v>0</v>
      </c>
      <c r="X589">
        <f>AND(IF(metadata!D589="",FALSE,TRUE),exact(metadata!D589,"weeks"))</f>
        <v>0</v>
      </c>
      <c r="Y589">
        <f>AND(IF(metadata!E589="",FALSE,TRUE),exact(metadata!E589,"urban biome"))</f>
        <v>0</v>
      </c>
      <c r="Z589">
        <f>AND(IF(metadata!F589="",FALSE,TRUE),exact(metadata!F589,"animal-associated habitat"))</f>
        <v>0</v>
      </c>
      <c r="AA589">
        <f>AND(IF(metadata!G589="",FALSE,TRUE),exact(metadata!G589,"mouse"))</f>
        <v>0</v>
      </c>
      <c r="AB589">
        <f>AND(IF(metadata!H589="",FALSE,TRUE),exact(metadata!H589,"Mus musculus"))</f>
        <v>0</v>
      </c>
      <c r="AC589">
        <f>AND(IF(metadata!I589="",FALSE,TRUE),exact(metadata!I589,"10090"))</f>
        <v>0</v>
      </c>
      <c r="AD589">
        <f>OR(AND(IF(metadata!J589="",FALSE,TRUE),OR(exact(metadata!J589,"not applicable"),exact(metadata!J589,"missing: not collected"),exact(metadata!J589,"missing: not provided"),exact(metadata!J589,"missing: restricted access"))),AND(IF(metadata!J589="",FALSE,ISNUMBER(VALUE(metadata!J589))),metadata!J589&gt;0))</f>
        <v>0</v>
      </c>
      <c r="AE589">
        <f>AND(IF(metadata!K589="",FALSE,TRUE),exact(metadata!K589,"g"))</f>
        <v>0</v>
      </c>
    </row>
    <row r="590" spans="1:31">
      <c r="A590" s="5">
        <f>IF(B590=" "," ",HYPERLINK(CONCATENATE("#metadata!",ADDRESS(INDEX($Q$2:$Q$1001,MATCH(ROWS($O$2:O590),$O$2:$O$1001,0),0),1)),INDEX($T$2:$T$1001,MATCH(ROWS($O$2:O590),$O$2:$O$1001,0),0)))</f>
        <v>0</v>
      </c>
      <c r="B590" s="4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4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4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4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4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4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4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4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4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4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OR(AND(IF(metadata!C590="",FALSE,TRUE),OR(exact(metadata!C590,"not applicable"),exact(metadata!C590,"missing: not collected"),exact(metadata!C590,"missing: not provided"),exact(metadata!C590,"missing: restricted access"))),AND(IF(metadata!C590="",FALSE,ISNUMBER(VALUE(metadata!C590))),metadata!C590&gt;0))</f>
        <v>0</v>
      </c>
      <c r="X590">
        <f>AND(IF(metadata!D590="",FALSE,TRUE),exact(metadata!D590,"weeks"))</f>
        <v>0</v>
      </c>
      <c r="Y590">
        <f>AND(IF(metadata!E590="",FALSE,TRUE),exact(metadata!E590,"urban biome"))</f>
        <v>0</v>
      </c>
      <c r="Z590">
        <f>AND(IF(metadata!F590="",FALSE,TRUE),exact(metadata!F590,"animal-associated habitat"))</f>
        <v>0</v>
      </c>
      <c r="AA590">
        <f>AND(IF(metadata!G590="",FALSE,TRUE),exact(metadata!G590,"mouse"))</f>
        <v>0</v>
      </c>
      <c r="AB590">
        <f>AND(IF(metadata!H590="",FALSE,TRUE),exact(metadata!H590,"Mus musculus"))</f>
        <v>0</v>
      </c>
      <c r="AC590">
        <f>AND(IF(metadata!I590="",FALSE,TRUE),exact(metadata!I590,"10090"))</f>
        <v>0</v>
      </c>
      <c r="AD590">
        <f>OR(AND(IF(metadata!J590="",FALSE,TRUE),OR(exact(metadata!J590,"not applicable"),exact(metadata!J590,"missing: not collected"),exact(metadata!J590,"missing: not provided"),exact(metadata!J590,"missing: restricted access"))),AND(IF(metadata!J590="",FALSE,ISNUMBER(VALUE(metadata!J590))),metadata!J590&gt;0))</f>
        <v>0</v>
      </c>
      <c r="AE590">
        <f>AND(IF(metadata!K590="",FALSE,TRUE),exact(metadata!K590,"g"))</f>
        <v>0</v>
      </c>
    </row>
    <row r="591" spans="1:31">
      <c r="A591" s="5">
        <f>IF(B591=" "," ",HYPERLINK(CONCATENATE("#metadata!",ADDRESS(INDEX($Q$2:$Q$1001,MATCH(ROWS($O$2:O591),$O$2:$O$1001,0),0),1)),INDEX($T$2:$T$1001,MATCH(ROWS($O$2:O591),$O$2:$O$1001,0),0)))</f>
        <v>0</v>
      </c>
      <c r="B591" s="4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4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4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4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4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4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4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4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4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4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OR(AND(IF(metadata!C591="",FALSE,TRUE),OR(exact(metadata!C591,"not applicable"),exact(metadata!C591,"missing: not collected"),exact(metadata!C591,"missing: not provided"),exact(metadata!C591,"missing: restricted access"))),AND(IF(metadata!C591="",FALSE,ISNUMBER(VALUE(metadata!C591))),metadata!C591&gt;0))</f>
        <v>0</v>
      </c>
      <c r="X591">
        <f>AND(IF(metadata!D591="",FALSE,TRUE),exact(metadata!D591,"weeks"))</f>
        <v>0</v>
      </c>
      <c r="Y591">
        <f>AND(IF(metadata!E591="",FALSE,TRUE),exact(metadata!E591,"urban biome"))</f>
        <v>0</v>
      </c>
      <c r="Z591">
        <f>AND(IF(metadata!F591="",FALSE,TRUE),exact(metadata!F591,"animal-associated habitat"))</f>
        <v>0</v>
      </c>
      <c r="AA591">
        <f>AND(IF(metadata!G591="",FALSE,TRUE),exact(metadata!G591,"mouse"))</f>
        <v>0</v>
      </c>
      <c r="AB591">
        <f>AND(IF(metadata!H591="",FALSE,TRUE),exact(metadata!H591,"Mus musculus"))</f>
        <v>0</v>
      </c>
      <c r="AC591">
        <f>AND(IF(metadata!I591="",FALSE,TRUE),exact(metadata!I591,"10090"))</f>
        <v>0</v>
      </c>
      <c r="AD591">
        <f>OR(AND(IF(metadata!J591="",FALSE,TRUE),OR(exact(metadata!J591,"not applicable"),exact(metadata!J591,"missing: not collected"),exact(metadata!J591,"missing: not provided"),exact(metadata!J591,"missing: restricted access"))),AND(IF(metadata!J591="",FALSE,ISNUMBER(VALUE(metadata!J591))),metadata!J591&gt;0))</f>
        <v>0</v>
      </c>
      <c r="AE591">
        <f>AND(IF(metadata!K591="",FALSE,TRUE),exact(metadata!K591,"g"))</f>
        <v>0</v>
      </c>
    </row>
    <row r="592" spans="1:31">
      <c r="A592" s="5">
        <f>IF(B592=" "," ",HYPERLINK(CONCATENATE("#metadata!",ADDRESS(INDEX($Q$2:$Q$1001,MATCH(ROWS($O$2:O592),$O$2:$O$1001,0),0),1)),INDEX($T$2:$T$1001,MATCH(ROWS($O$2:O592),$O$2:$O$1001,0),0)))</f>
        <v>0</v>
      </c>
      <c r="B592" s="4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4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4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4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4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4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4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4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4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4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OR(AND(IF(metadata!C592="",FALSE,TRUE),OR(exact(metadata!C592,"not applicable"),exact(metadata!C592,"missing: not collected"),exact(metadata!C592,"missing: not provided"),exact(metadata!C592,"missing: restricted access"))),AND(IF(metadata!C592="",FALSE,ISNUMBER(VALUE(metadata!C592))),metadata!C592&gt;0))</f>
        <v>0</v>
      </c>
      <c r="X592">
        <f>AND(IF(metadata!D592="",FALSE,TRUE),exact(metadata!D592,"weeks"))</f>
        <v>0</v>
      </c>
      <c r="Y592">
        <f>AND(IF(metadata!E592="",FALSE,TRUE),exact(metadata!E592,"urban biome"))</f>
        <v>0</v>
      </c>
      <c r="Z592">
        <f>AND(IF(metadata!F592="",FALSE,TRUE),exact(metadata!F592,"animal-associated habitat"))</f>
        <v>0</v>
      </c>
      <c r="AA592">
        <f>AND(IF(metadata!G592="",FALSE,TRUE),exact(metadata!G592,"mouse"))</f>
        <v>0</v>
      </c>
      <c r="AB592">
        <f>AND(IF(metadata!H592="",FALSE,TRUE),exact(metadata!H592,"Mus musculus"))</f>
        <v>0</v>
      </c>
      <c r="AC592">
        <f>AND(IF(metadata!I592="",FALSE,TRUE),exact(metadata!I592,"10090"))</f>
        <v>0</v>
      </c>
      <c r="AD592">
        <f>OR(AND(IF(metadata!J592="",FALSE,TRUE),OR(exact(metadata!J592,"not applicable"),exact(metadata!J592,"missing: not collected"),exact(metadata!J592,"missing: not provided"),exact(metadata!J592,"missing: restricted access"))),AND(IF(metadata!J592="",FALSE,ISNUMBER(VALUE(metadata!J592))),metadata!J592&gt;0))</f>
        <v>0</v>
      </c>
      <c r="AE592">
        <f>AND(IF(metadata!K592="",FALSE,TRUE),exact(metadata!K592,"g"))</f>
        <v>0</v>
      </c>
    </row>
    <row r="593" spans="1:31">
      <c r="A593" s="5">
        <f>IF(B593=" "," ",HYPERLINK(CONCATENATE("#metadata!",ADDRESS(INDEX($Q$2:$Q$1001,MATCH(ROWS($O$2:O593),$O$2:$O$1001,0),0),1)),INDEX($T$2:$T$1001,MATCH(ROWS($O$2:O593),$O$2:$O$1001,0),0)))</f>
        <v>0</v>
      </c>
      <c r="B593" s="4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4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4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4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4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4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4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4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4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4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OR(AND(IF(metadata!C593="",FALSE,TRUE),OR(exact(metadata!C593,"not applicable"),exact(metadata!C593,"missing: not collected"),exact(metadata!C593,"missing: not provided"),exact(metadata!C593,"missing: restricted access"))),AND(IF(metadata!C593="",FALSE,ISNUMBER(VALUE(metadata!C593))),metadata!C593&gt;0))</f>
        <v>0</v>
      </c>
      <c r="X593">
        <f>AND(IF(metadata!D593="",FALSE,TRUE),exact(metadata!D593,"weeks"))</f>
        <v>0</v>
      </c>
      <c r="Y593">
        <f>AND(IF(metadata!E593="",FALSE,TRUE),exact(metadata!E593,"urban biome"))</f>
        <v>0</v>
      </c>
      <c r="Z593">
        <f>AND(IF(metadata!F593="",FALSE,TRUE),exact(metadata!F593,"animal-associated habitat"))</f>
        <v>0</v>
      </c>
      <c r="AA593">
        <f>AND(IF(metadata!G593="",FALSE,TRUE),exact(metadata!G593,"mouse"))</f>
        <v>0</v>
      </c>
      <c r="AB593">
        <f>AND(IF(metadata!H593="",FALSE,TRUE),exact(metadata!H593,"Mus musculus"))</f>
        <v>0</v>
      </c>
      <c r="AC593">
        <f>AND(IF(metadata!I593="",FALSE,TRUE),exact(metadata!I593,"10090"))</f>
        <v>0</v>
      </c>
      <c r="AD593">
        <f>OR(AND(IF(metadata!J593="",FALSE,TRUE),OR(exact(metadata!J593,"not applicable"),exact(metadata!J593,"missing: not collected"),exact(metadata!J593,"missing: not provided"),exact(metadata!J593,"missing: restricted access"))),AND(IF(metadata!J593="",FALSE,ISNUMBER(VALUE(metadata!J593))),metadata!J593&gt;0))</f>
        <v>0</v>
      </c>
      <c r="AE593">
        <f>AND(IF(metadata!K593="",FALSE,TRUE),exact(metadata!K593,"g"))</f>
        <v>0</v>
      </c>
    </row>
    <row r="594" spans="1:31">
      <c r="A594" s="5">
        <f>IF(B594=" "," ",HYPERLINK(CONCATENATE("#metadata!",ADDRESS(INDEX($Q$2:$Q$1001,MATCH(ROWS($O$2:O594),$O$2:$O$1001,0),0),1)),INDEX($T$2:$T$1001,MATCH(ROWS($O$2:O594),$O$2:$O$1001,0),0)))</f>
        <v>0</v>
      </c>
      <c r="B594" s="4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4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4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4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4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4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4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4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4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4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OR(AND(IF(metadata!C594="",FALSE,TRUE),OR(exact(metadata!C594,"not applicable"),exact(metadata!C594,"missing: not collected"),exact(metadata!C594,"missing: not provided"),exact(metadata!C594,"missing: restricted access"))),AND(IF(metadata!C594="",FALSE,ISNUMBER(VALUE(metadata!C594))),metadata!C594&gt;0))</f>
        <v>0</v>
      </c>
      <c r="X594">
        <f>AND(IF(metadata!D594="",FALSE,TRUE),exact(metadata!D594,"weeks"))</f>
        <v>0</v>
      </c>
      <c r="Y594">
        <f>AND(IF(metadata!E594="",FALSE,TRUE),exact(metadata!E594,"urban biome"))</f>
        <v>0</v>
      </c>
      <c r="Z594">
        <f>AND(IF(metadata!F594="",FALSE,TRUE),exact(metadata!F594,"animal-associated habitat"))</f>
        <v>0</v>
      </c>
      <c r="AA594">
        <f>AND(IF(metadata!G594="",FALSE,TRUE),exact(metadata!G594,"mouse"))</f>
        <v>0</v>
      </c>
      <c r="AB594">
        <f>AND(IF(metadata!H594="",FALSE,TRUE),exact(metadata!H594,"Mus musculus"))</f>
        <v>0</v>
      </c>
      <c r="AC594">
        <f>AND(IF(metadata!I594="",FALSE,TRUE),exact(metadata!I594,"10090"))</f>
        <v>0</v>
      </c>
      <c r="AD594">
        <f>OR(AND(IF(metadata!J594="",FALSE,TRUE),OR(exact(metadata!J594,"not applicable"),exact(metadata!J594,"missing: not collected"),exact(metadata!J594,"missing: not provided"),exact(metadata!J594,"missing: restricted access"))),AND(IF(metadata!J594="",FALSE,ISNUMBER(VALUE(metadata!J594))),metadata!J594&gt;0))</f>
        <v>0</v>
      </c>
      <c r="AE594">
        <f>AND(IF(metadata!K594="",FALSE,TRUE),exact(metadata!K594,"g"))</f>
        <v>0</v>
      </c>
    </row>
    <row r="595" spans="1:31">
      <c r="A595" s="5">
        <f>IF(B595=" "," ",HYPERLINK(CONCATENATE("#metadata!",ADDRESS(INDEX($Q$2:$Q$1001,MATCH(ROWS($O$2:O595),$O$2:$O$1001,0),0),1)),INDEX($T$2:$T$1001,MATCH(ROWS($O$2:O595),$O$2:$O$1001,0),0)))</f>
        <v>0</v>
      </c>
      <c r="B595" s="4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4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4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4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4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4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4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4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4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4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OR(AND(IF(metadata!C595="",FALSE,TRUE),OR(exact(metadata!C595,"not applicable"),exact(metadata!C595,"missing: not collected"),exact(metadata!C595,"missing: not provided"),exact(metadata!C595,"missing: restricted access"))),AND(IF(metadata!C595="",FALSE,ISNUMBER(VALUE(metadata!C595))),metadata!C595&gt;0))</f>
        <v>0</v>
      </c>
      <c r="X595">
        <f>AND(IF(metadata!D595="",FALSE,TRUE),exact(metadata!D595,"weeks"))</f>
        <v>0</v>
      </c>
      <c r="Y595">
        <f>AND(IF(metadata!E595="",FALSE,TRUE),exact(metadata!E595,"urban biome"))</f>
        <v>0</v>
      </c>
      <c r="Z595">
        <f>AND(IF(metadata!F595="",FALSE,TRUE),exact(metadata!F595,"animal-associated habitat"))</f>
        <v>0</v>
      </c>
      <c r="AA595">
        <f>AND(IF(metadata!G595="",FALSE,TRUE),exact(metadata!G595,"mouse"))</f>
        <v>0</v>
      </c>
      <c r="AB595">
        <f>AND(IF(metadata!H595="",FALSE,TRUE),exact(metadata!H595,"Mus musculus"))</f>
        <v>0</v>
      </c>
      <c r="AC595">
        <f>AND(IF(metadata!I595="",FALSE,TRUE),exact(metadata!I595,"10090"))</f>
        <v>0</v>
      </c>
      <c r="AD595">
        <f>OR(AND(IF(metadata!J595="",FALSE,TRUE),OR(exact(metadata!J595,"not applicable"),exact(metadata!J595,"missing: not collected"),exact(metadata!J595,"missing: not provided"),exact(metadata!J595,"missing: restricted access"))),AND(IF(metadata!J595="",FALSE,ISNUMBER(VALUE(metadata!J595))),metadata!J595&gt;0))</f>
        <v>0</v>
      </c>
      <c r="AE595">
        <f>AND(IF(metadata!K595="",FALSE,TRUE),exact(metadata!K595,"g"))</f>
        <v>0</v>
      </c>
    </row>
    <row r="596" spans="1:31">
      <c r="A596" s="5">
        <f>IF(B596=" "," ",HYPERLINK(CONCATENATE("#metadata!",ADDRESS(INDEX($Q$2:$Q$1001,MATCH(ROWS($O$2:O596),$O$2:$O$1001,0),0),1)),INDEX($T$2:$T$1001,MATCH(ROWS($O$2:O596),$O$2:$O$1001,0),0)))</f>
        <v>0</v>
      </c>
      <c r="B596" s="4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4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4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4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4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4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4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4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4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4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OR(AND(IF(metadata!C596="",FALSE,TRUE),OR(exact(metadata!C596,"not applicable"),exact(metadata!C596,"missing: not collected"),exact(metadata!C596,"missing: not provided"),exact(metadata!C596,"missing: restricted access"))),AND(IF(metadata!C596="",FALSE,ISNUMBER(VALUE(metadata!C596))),metadata!C596&gt;0))</f>
        <v>0</v>
      </c>
      <c r="X596">
        <f>AND(IF(metadata!D596="",FALSE,TRUE),exact(metadata!D596,"weeks"))</f>
        <v>0</v>
      </c>
      <c r="Y596">
        <f>AND(IF(metadata!E596="",FALSE,TRUE),exact(metadata!E596,"urban biome"))</f>
        <v>0</v>
      </c>
      <c r="Z596">
        <f>AND(IF(metadata!F596="",FALSE,TRUE),exact(metadata!F596,"animal-associated habitat"))</f>
        <v>0</v>
      </c>
      <c r="AA596">
        <f>AND(IF(metadata!G596="",FALSE,TRUE),exact(metadata!G596,"mouse"))</f>
        <v>0</v>
      </c>
      <c r="AB596">
        <f>AND(IF(metadata!H596="",FALSE,TRUE),exact(metadata!H596,"Mus musculus"))</f>
        <v>0</v>
      </c>
      <c r="AC596">
        <f>AND(IF(metadata!I596="",FALSE,TRUE),exact(metadata!I596,"10090"))</f>
        <v>0</v>
      </c>
      <c r="AD596">
        <f>OR(AND(IF(metadata!J596="",FALSE,TRUE),OR(exact(metadata!J596,"not applicable"),exact(metadata!J596,"missing: not collected"),exact(metadata!J596,"missing: not provided"),exact(metadata!J596,"missing: restricted access"))),AND(IF(metadata!J596="",FALSE,ISNUMBER(VALUE(metadata!J596))),metadata!J596&gt;0))</f>
        <v>0</v>
      </c>
      <c r="AE596">
        <f>AND(IF(metadata!K596="",FALSE,TRUE),exact(metadata!K596,"g"))</f>
        <v>0</v>
      </c>
    </row>
    <row r="597" spans="1:31">
      <c r="A597" s="5">
        <f>IF(B597=" "," ",HYPERLINK(CONCATENATE("#metadata!",ADDRESS(INDEX($Q$2:$Q$1001,MATCH(ROWS($O$2:O597),$O$2:$O$1001,0),0),1)),INDEX($T$2:$T$1001,MATCH(ROWS($O$2:O597),$O$2:$O$1001,0),0)))</f>
        <v>0</v>
      </c>
      <c r="B597" s="4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4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4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4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4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4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4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4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4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4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OR(AND(IF(metadata!C597="",FALSE,TRUE),OR(exact(metadata!C597,"not applicable"),exact(metadata!C597,"missing: not collected"),exact(metadata!C597,"missing: not provided"),exact(metadata!C597,"missing: restricted access"))),AND(IF(metadata!C597="",FALSE,ISNUMBER(VALUE(metadata!C597))),metadata!C597&gt;0))</f>
        <v>0</v>
      </c>
      <c r="X597">
        <f>AND(IF(metadata!D597="",FALSE,TRUE),exact(metadata!D597,"weeks"))</f>
        <v>0</v>
      </c>
      <c r="Y597">
        <f>AND(IF(metadata!E597="",FALSE,TRUE),exact(metadata!E597,"urban biome"))</f>
        <v>0</v>
      </c>
      <c r="Z597">
        <f>AND(IF(metadata!F597="",FALSE,TRUE),exact(metadata!F597,"animal-associated habitat"))</f>
        <v>0</v>
      </c>
      <c r="AA597">
        <f>AND(IF(metadata!G597="",FALSE,TRUE),exact(metadata!G597,"mouse"))</f>
        <v>0</v>
      </c>
      <c r="AB597">
        <f>AND(IF(metadata!H597="",FALSE,TRUE),exact(metadata!H597,"Mus musculus"))</f>
        <v>0</v>
      </c>
      <c r="AC597">
        <f>AND(IF(metadata!I597="",FALSE,TRUE),exact(metadata!I597,"10090"))</f>
        <v>0</v>
      </c>
      <c r="AD597">
        <f>OR(AND(IF(metadata!J597="",FALSE,TRUE),OR(exact(metadata!J597,"not applicable"),exact(metadata!J597,"missing: not collected"),exact(metadata!J597,"missing: not provided"),exact(metadata!J597,"missing: restricted access"))),AND(IF(metadata!J597="",FALSE,ISNUMBER(VALUE(metadata!J597))),metadata!J597&gt;0))</f>
        <v>0</v>
      </c>
      <c r="AE597">
        <f>AND(IF(metadata!K597="",FALSE,TRUE),exact(metadata!K597,"g"))</f>
        <v>0</v>
      </c>
    </row>
    <row r="598" spans="1:31">
      <c r="A598" s="5">
        <f>IF(B598=" "," ",HYPERLINK(CONCATENATE("#metadata!",ADDRESS(INDEX($Q$2:$Q$1001,MATCH(ROWS($O$2:O598),$O$2:$O$1001,0),0),1)),INDEX($T$2:$T$1001,MATCH(ROWS($O$2:O598),$O$2:$O$1001,0),0)))</f>
        <v>0</v>
      </c>
      <c r="B598" s="4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4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4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4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4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4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4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4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4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4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OR(AND(IF(metadata!C598="",FALSE,TRUE),OR(exact(metadata!C598,"not applicable"),exact(metadata!C598,"missing: not collected"),exact(metadata!C598,"missing: not provided"),exact(metadata!C598,"missing: restricted access"))),AND(IF(metadata!C598="",FALSE,ISNUMBER(VALUE(metadata!C598))),metadata!C598&gt;0))</f>
        <v>0</v>
      </c>
      <c r="X598">
        <f>AND(IF(metadata!D598="",FALSE,TRUE),exact(metadata!D598,"weeks"))</f>
        <v>0</v>
      </c>
      <c r="Y598">
        <f>AND(IF(metadata!E598="",FALSE,TRUE),exact(metadata!E598,"urban biome"))</f>
        <v>0</v>
      </c>
      <c r="Z598">
        <f>AND(IF(metadata!F598="",FALSE,TRUE),exact(metadata!F598,"animal-associated habitat"))</f>
        <v>0</v>
      </c>
      <c r="AA598">
        <f>AND(IF(metadata!G598="",FALSE,TRUE),exact(metadata!G598,"mouse"))</f>
        <v>0</v>
      </c>
      <c r="AB598">
        <f>AND(IF(metadata!H598="",FALSE,TRUE),exact(metadata!H598,"Mus musculus"))</f>
        <v>0</v>
      </c>
      <c r="AC598">
        <f>AND(IF(metadata!I598="",FALSE,TRUE),exact(metadata!I598,"10090"))</f>
        <v>0</v>
      </c>
      <c r="AD598">
        <f>OR(AND(IF(metadata!J598="",FALSE,TRUE),OR(exact(metadata!J598,"not applicable"),exact(metadata!J598,"missing: not collected"),exact(metadata!J598,"missing: not provided"),exact(metadata!J598,"missing: restricted access"))),AND(IF(metadata!J598="",FALSE,ISNUMBER(VALUE(metadata!J598))),metadata!J598&gt;0))</f>
        <v>0</v>
      </c>
      <c r="AE598">
        <f>AND(IF(metadata!K598="",FALSE,TRUE),exact(metadata!K598,"g"))</f>
        <v>0</v>
      </c>
    </row>
    <row r="599" spans="1:31">
      <c r="A599" s="5">
        <f>IF(B599=" "," ",HYPERLINK(CONCATENATE("#metadata!",ADDRESS(INDEX($Q$2:$Q$1001,MATCH(ROWS($O$2:O599),$O$2:$O$1001,0),0),1)),INDEX($T$2:$T$1001,MATCH(ROWS($O$2:O599),$O$2:$O$1001,0),0)))</f>
        <v>0</v>
      </c>
      <c r="B599" s="4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4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4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4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4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4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4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4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4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4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OR(AND(IF(metadata!C599="",FALSE,TRUE),OR(exact(metadata!C599,"not applicable"),exact(metadata!C599,"missing: not collected"),exact(metadata!C599,"missing: not provided"),exact(metadata!C599,"missing: restricted access"))),AND(IF(metadata!C599="",FALSE,ISNUMBER(VALUE(metadata!C599))),metadata!C599&gt;0))</f>
        <v>0</v>
      </c>
      <c r="X599">
        <f>AND(IF(metadata!D599="",FALSE,TRUE),exact(metadata!D599,"weeks"))</f>
        <v>0</v>
      </c>
      <c r="Y599">
        <f>AND(IF(metadata!E599="",FALSE,TRUE),exact(metadata!E599,"urban biome"))</f>
        <v>0</v>
      </c>
      <c r="Z599">
        <f>AND(IF(metadata!F599="",FALSE,TRUE),exact(metadata!F599,"animal-associated habitat"))</f>
        <v>0</v>
      </c>
      <c r="AA599">
        <f>AND(IF(metadata!G599="",FALSE,TRUE),exact(metadata!G599,"mouse"))</f>
        <v>0</v>
      </c>
      <c r="AB599">
        <f>AND(IF(metadata!H599="",FALSE,TRUE),exact(metadata!H599,"Mus musculus"))</f>
        <v>0</v>
      </c>
      <c r="AC599">
        <f>AND(IF(metadata!I599="",FALSE,TRUE),exact(metadata!I599,"10090"))</f>
        <v>0</v>
      </c>
      <c r="AD599">
        <f>OR(AND(IF(metadata!J599="",FALSE,TRUE),OR(exact(metadata!J599,"not applicable"),exact(metadata!J599,"missing: not collected"),exact(metadata!J599,"missing: not provided"),exact(metadata!J599,"missing: restricted access"))),AND(IF(metadata!J599="",FALSE,ISNUMBER(VALUE(metadata!J599))),metadata!J599&gt;0))</f>
        <v>0</v>
      </c>
      <c r="AE599">
        <f>AND(IF(metadata!K599="",FALSE,TRUE),exact(metadata!K599,"g"))</f>
        <v>0</v>
      </c>
    </row>
    <row r="600" spans="1:31">
      <c r="A600" s="5">
        <f>IF(B600=" "," ",HYPERLINK(CONCATENATE("#metadata!",ADDRESS(INDEX($Q$2:$Q$1001,MATCH(ROWS($O$2:O600),$O$2:$O$1001,0),0),1)),INDEX($T$2:$T$1001,MATCH(ROWS($O$2:O600),$O$2:$O$1001,0),0)))</f>
        <v>0</v>
      </c>
      <c r="B600" s="4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4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4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4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4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4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4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4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4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4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OR(AND(IF(metadata!C600="",FALSE,TRUE),OR(exact(metadata!C600,"not applicable"),exact(metadata!C600,"missing: not collected"),exact(metadata!C600,"missing: not provided"),exact(metadata!C600,"missing: restricted access"))),AND(IF(metadata!C600="",FALSE,ISNUMBER(VALUE(metadata!C600))),metadata!C600&gt;0))</f>
        <v>0</v>
      </c>
      <c r="X600">
        <f>AND(IF(metadata!D600="",FALSE,TRUE),exact(metadata!D600,"weeks"))</f>
        <v>0</v>
      </c>
      <c r="Y600">
        <f>AND(IF(metadata!E600="",FALSE,TRUE),exact(metadata!E600,"urban biome"))</f>
        <v>0</v>
      </c>
      <c r="Z600">
        <f>AND(IF(metadata!F600="",FALSE,TRUE),exact(metadata!F600,"animal-associated habitat"))</f>
        <v>0</v>
      </c>
      <c r="AA600">
        <f>AND(IF(metadata!G600="",FALSE,TRUE),exact(metadata!G600,"mouse"))</f>
        <v>0</v>
      </c>
      <c r="AB600">
        <f>AND(IF(metadata!H600="",FALSE,TRUE),exact(metadata!H600,"Mus musculus"))</f>
        <v>0</v>
      </c>
      <c r="AC600">
        <f>AND(IF(metadata!I600="",FALSE,TRUE),exact(metadata!I600,"10090"))</f>
        <v>0</v>
      </c>
      <c r="AD600">
        <f>OR(AND(IF(metadata!J600="",FALSE,TRUE),OR(exact(metadata!J600,"not applicable"),exact(metadata!J600,"missing: not collected"),exact(metadata!J600,"missing: not provided"),exact(metadata!J600,"missing: restricted access"))),AND(IF(metadata!J600="",FALSE,ISNUMBER(VALUE(metadata!J600))),metadata!J600&gt;0))</f>
        <v>0</v>
      </c>
      <c r="AE600">
        <f>AND(IF(metadata!K600="",FALSE,TRUE),exact(metadata!K600,"g"))</f>
        <v>0</v>
      </c>
    </row>
    <row r="601" spans="1:31">
      <c r="A601" s="5">
        <f>IF(B601=" "," ",HYPERLINK(CONCATENATE("#metadata!",ADDRESS(INDEX($Q$2:$Q$1001,MATCH(ROWS($O$2:O601),$O$2:$O$1001,0),0),1)),INDEX($T$2:$T$1001,MATCH(ROWS($O$2:O601),$O$2:$O$1001,0),0)))</f>
        <v>0</v>
      </c>
      <c r="B601" s="4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4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4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4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4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4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4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4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4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4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OR(AND(IF(metadata!C601="",FALSE,TRUE),OR(exact(metadata!C601,"not applicable"),exact(metadata!C601,"missing: not collected"),exact(metadata!C601,"missing: not provided"),exact(metadata!C601,"missing: restricted access"))),AND(IF(metadata!C601="",FALSE,ISNUMBER(VALUE(metadata!C601))),metadata!C601&gt;0))</f>
        <v>0</v>
      </c>
      <c r="X601">
        <f>AND(IF(metadata!D601="",FALSE,TRUE),exact(metadata!D601,"weeks"))</f>
        <v>0</v>
      </c>
      <c r="Y601">
        <f>AND(IF(metadata!E601="",FALSE,TRUE),exact(metadata!E601,"urban biome"))</f>
        <v>0</v>
      </c>
      <c r="Z601">
        <f>AND(IF(metadata!F601="",FALSE,TRUE),exact(metadata!F601,"animal-associated habitat"))</f>
        <v>0</v>
      </c>
      <c r="AA601">
        <f>AND(IF(metadata!G601="",FALSE,TRUE),exact(metadata!G601,"mouse"))</f>
        <v>0</v>
      </c>
      <c r="AB601">
        <f>AND(IF(metadata!H601="",FALSE,TRUE),exact(metadata!H601,"Mus musculus"))</f>
        <v>0</v>
      </c>
      <c r="AC601">
        <f>AND(IF(metadata!I601="",FALSE,TRUE),exact(metadata!I601,"10090"))</f>
        <v>0</v>
      </c>
      <c r="AD601">
        <f>OR(AND(IF(metadata!J601="",FALSE,TRUE),OR(exact(metadata!J601,"not applicable"),exact(metadata!J601,"missing: not collected"),exact(metadata!J601,"missing: not provided"),exact(metadata!J601,"missing: restricted access"))),AND(IF(metadata!J601="",FALSE,ISNUMBER(VALUE(metadata!J601))),metadata!J601&gt;0))</f>
        <v>0</v>
      </c>
      <c r="AE601">
        <f>AND(IF(metadata!K601="",FALSE,TRUE),exact(metadata!K601,"g"))</f>
        <v>0</v>
      </c>
    </row>
    <row r="602" spans="1:31">
      <c r="A602" s="5">
        <f>IF(B602=" "," ",HYPERLINK(CONCATENATE("#metadata!",ADDRESS(INDEX($Q$2:$Q$1001,MATCH(ROWS($O$2:O602),$O$2:$O$1001,0),0),1)),INDEX($T$2:$T$1001,MATCH(ROWS($O$2:O602),$O$2:$O$1001,0),0)))</f>
        <v>0</v>
      </c>
      <c r="B602" s="4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4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4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4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4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4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4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4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4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4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OR(AND(IF(metadata!C602="",FALSE,TRUE),OR(exact(metadata!C602,"not applicable"),exact(metadata!C602,"missing: not collected"),exact(metadata!C602,"missing: not provided"),exact(metadata!C602,"missing: restricted access"))),AND(IF(metadata!C602="",FALSE,ISNUMBER(VALUE(metadata!C602))),metadata!C602&gt;0))</f>
        <v>0</v>
      </c>
      <c r="X602">
        <f>AND(IF(metadata!D602="",FALSE,TRUE),exact(metadata!D602,"weeks"))</f>
        <v>0</v>
      </c>
      <c r="Y602">
        <f>AND(IF(metadata!E602="",FALSE,TRUE),exact(metadata!E602,"urban biome"))</f>
        <v>0</v>
      </c>
      <c r="Z602">
        <f>AND(IF(metadata!F602="",FALSE,TRUE),exact(metadata!F602,"animal-associated habitat"))</f>
        <v>0</v>
      </c>
      <c r="AA602">
        <f>AND(IF(metadata!G602="",FALSE,TRUE),exact(metadata!G602,"mouse"))</f>
        <v>0</v>
      </c>
      <c r="AB602">
        <f>AND(IF(metadata!H602="",FALSE,TRUE),exact(metadata!H602,"Mus musculus"))</f>
        <v>0</v>
      </c>
      <c r="AC602">
        <f>AND(IF(metadata!I602="",FALSE,TRUE),exact(metadata!I602,"10090"))</f>
        <v>0</v>
      </c>
      <c r="AD602">
        <f>OR(AND(IF(metadata!J602="",FALSE,TRUE),OR(exact(metadata!J602,"not applicable"),exact(metadata!J602,"missing: not collected"),exact(metadata!J602,"missing: not provided"),exact(metadata!J602,"missing: restricted access"))),AND(IF(metadata!J602="",FALSE,ISNUMBER(VALUE(metadata!J602))),metadata!J602&gt;0))</f>
        <v>0</v>
      </c>
      <c r="AE602">
        <f>AND(IF(metadata!K602="",FALSE,TRUE),exact(metadata!K602,"g"))</f>
        <v>0</v>
      </c>
    </row>
    <row r="603" spans="1:31">
      <c r="A603" s="5">
        <f>IF(B603=" "," ",HYPERLINK(CONCATENATE("#metadata!",ADDRESS(INDEX($Q$2:$Q$1001,MATCH(ROWS($O$2:O603),$O$2:$O$1001,0),0),1)),INDEX($T$2:$T$1001,MATCH(ROWS($O$2:O603),$O$2:$O$1001,0),0)))</f>
        <v>0</v>
      </c>
      <c r="B603" s="4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4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4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4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4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4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4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4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4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4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OR(AND(IF(metadata!C603="",FALSE,TRUE),OR(exact(metadata!C603,"not applicable"),exact(metadata!C603,"missing: not collected"),exact(metadata!C603,"missing: not provided"),exact(metadata!C603,"missing: restricted access"))),AND(IF(metadata!C603="",FALSE,ISNUMBER(VALUE(metadata!C603))),metadata!C603&gt;0))</f>
        <v>0</v>
      </c>
      <c r="X603">
        <f>AND(IF(metadata!D603="",FALSE,TRUE),exact(metadata!D603,"weeks"))</f>
        <v>0</v>
      </c>
      <c r="Y603">
        <f>AND(IF(metadata!E603="",FALSE,TRUE),exact(metadata!E603,"urban biome"))</f>
        <v>0</v>
      </c>
      <c r="Z603">
        <f>AND(IF(metadata!F603="",FALSE,TRUE),exact(metadata!F603,"animal-associated habitat"))</f>
        <v>0</v>
      </c>
      <c r="AA603">
        <f>AND(IF(metadata!G603="",FALSE,TRUE),exact(metadata!G603,"mouse"))</f>
        <v>0</v>
      </c>
      <c r="AB603">
        <f>AND(IF(metadata!H603="",FALSE,TRUE),exact(metadata!H603,"Mus musculus"))</f>
        <v>0</v>
      </c>
      <c r="AC603">
        <f>AND(IF(metadata!I603="",FALSE,TRUE),exact(metadata!I603,"10090"))</f>
        <v>0</v>
      </c>
      <c r="AD603">
        <f>OR(AND(IF(metadata!J603="",FALSE,TRUE),OR(exact(metadata!J603,"not applicable"),exact(metadata!J603,"missing: not collected"),exact(metadata!J603,"missing: not provided"),exact(metadata!J603,"missing: restricted access"))),AND(IF(metadata!J603="",FALSE,ISNUMBER(VALUE(metadata!J603))),metadata!J603&gt;0))</f>
        <v>0</v>
      </c>
      <c r="AE603">
        <f>AND(IF(metadata!K603="",FALSE,TRUE),exact(metadata!K603,"g"))</f>
        <v>0</v>
      </c>
    </row>
    <row r="604" spans="1:31">
      <c r="A604" s="5">
        <f>IF(B604=" "," ",HYPERLINK(CONCATENATE("#metadata!",ADDRESS(INDEX($Q$2:$Q$1001,MATCH(ROWS($O$2:O604),$O$2:$O$1001,0),0),1)),INDEX($T$2:$T$1001,MATCH(ROWS($O$2:O604),$O$2:$O$1001,0),0)))</f>
        <v>0</v>
      </c>
      <c r="B604" s="4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4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4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4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4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4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4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4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4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4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OR(AND(IF(metadata!C604="",FALSE,TRUE),OR(exact(metadata!C604,"not applicable"),exact(metadata!C604,"missing: not collected"),exact(metadata!C604,"missing: not provided"),exact(metadata!C604,"missing: restricted access"))),AND(IF(metadata!C604="",FALSE,ISNUMBER(VALUE(metadata!C604))),metadata!C604&gt;0))</f>
        <v>0</v>
      </c>
      <c r="X604">
        <f>AND(IF(metadata!D604="",FALSE,TRUE),exact(metadata!D604,"weeks"))</f>
        <v>0</v>
      </c>
      <c r="Y604">
        <f>AND(IF(metadata!E604="",FALSE,TRUE),exact(metadata!E604,"urban biome"))</f>
        <v>0</v>
      </c>
      <c r="Z604">
        <f>AND(IF(metadata!F604="",FALSE,TRUE),exact(metadata!F604,"animal-associated habitat"))</f>
        <v>0</v>
      </c>
      <c r="AA604">
        <f>AND(IF(metadata!G604="",FALSE,TRUE),exact(metadata!G604,"mouse"))</f>
        <v>0</v>
      </c>
      <c r="AB604">
        <f>AND(IF(metadata!H604="",FALSE,TRUE),exact(metadata!H604,"Mus musculus"))</f>
        <v>0</v>
      </c>
      <c r="AC604">
        <f>AND(IF(metadata!I604="",FALSE,TRUE),exact(metadata!I604,"10090"))</f>
        <v>0</v>
      </c>
      <c r="AD604">
        <f>OR(AND(IF(metadata!J604="",FALSE,TRUE),OR(exact(metadata!J604,"not applicable"),exact(metadata!J604,"missing: not collected"),exact(metadata!J604,"missing: not provided"),exact(metadata!J604,"missing: restricted access"))),AND(IF(metadata!J604="",FALSE,ISNUMBER(VALUE(metadata!J604))),metadata!J604&gt;0))</f>
        <v>0</v>
      </c>
      <c r="AE604">
        <f>AND(IF(metadata!K604="",FALSE,TRUE),exact(metadata!K604,"g"))</f>
        <v>0</v>
      </c>
    </row>
    <row r="605" spans="1:31">
      <c r="A605" s="5">
        <f>IF(B605=" "," ",HYPERLINK(CONCATENATE("#metadata!",ADDRESS(INDEX($Q$2:$Q$1001,MATCH(ROWS($O$2:O605),$O$2:$O$1001,0),0),1)),INDEX($T$2:$T$1001,MATCH(ROWS($O$2:O605),$O$2:$O$1001,0),0)))</f>
        <v>0</v>
      </c>
      <c r="B605" s="4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4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4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4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4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4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4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4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4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4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OR(AND(IF(metadata!C605="",FALSE,TRUE),OR(exact(metadata!C605,"not applicable"),exact(metadata!C605,"missing: not collected"),exact(metadata!C605,"missing: not provided"),exact(metadata!C605,"missing: restricted access"))),AND(IF(metadata!C605="",FALSE,ISNUMBER(VALUE(metadata!C605))),metadata!C605&gt;0))</f>
        <v>0</v>
      </c>
      <c r="X605">
        <f>AND(IF(metadata!D605="",FALSE,TRUE),exact(metadata!D605,"weeks"))</f>
        <v>0</v>
      </c>
      <c r="Y605">
        <f>AND(IF(metadata!E605="",FALSE,TRUE),exact(metadata!E605,"urban biome"))</f>
        <v>0</v>
      </c>
      <c r="Z605">
        <f>AND(IF(metadata!F605="",FALSE,TRUE),exact(metadata!F605,"animal-associated habitat"))</f>
        <v>0</v>
      </c>
      <c r="AA605">
        <f>AND(IF(metadata!G605="",FALSE,TRUE),exact(metadata!G605,"mouse"))</f>
        <v>0</v>
      </c>
      <c r="AB605">
        <f>AND(IF(metadata!H605="",FALSE,TRUE),exact(metadata!H605,"Mus musculus"))</f>
        <v>0</v>
      </c>
      <c r="AC605">
        <f>AND(IF(metadata!I605="",FALSE,TRUE),exact(metadata!I605,"10090"))</f>
        <v>0</v>
      </c>
      <c r="AD605">
        <f>OR(AND(IF(metadata!J605="",FALSE,TRUE),OR(exact(metadata!J605,"not applicable"),exact(metadata!J605,"missing: not collected"),exact(metadata!J605,"missing: not provided"),exact(metadata!J605,"missing: restricted access"))),AND(IF(metadata!J605="",FALSE,ISNUMBER(VALUE(metadata!J605))),metadata!J605&gt;0))</f>
        <v>0</v>
      </c>
      <c r="AE605">
        <f>AND(IF(metadata!K605="",FALSE,TRUE),exact(metadata!K605,"g"))</f>
        <v>0</v>
      </c>
    </row>
    <row r="606" spans="1:31">
      <c r="A606" s="5">
        <f>IF(B606=" "," ",HYPERLINK(CONCATENATE("#metadata!",ADDRESS(INDEX($Q$2:$Q$1001,MATCH(ROWS($O$2:O606),$O$2:$O$1001,0),0),1)),INDEX($T$2:$T$1001,MATCH(ROWS($O$2:O606),$O$2:$O$1001,0),0)))</f>
        <v>0</v>
      </c>
      <c r="B606" s="4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4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4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4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4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4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4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4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4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4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OR(AND(IF(metadata!C606="",FALSE,TRUE),OR(exact(metadata!C606,"not applicable"),exact(metadata!C606,"missing: not collected"),exact(metadata!C606,"missing: not provided"),exact(metadata!C606,"missing: restricted access"))),AND(IF(metadata!C606="",FALSE,ISNUMBER(VALUE(metadata!C606))),metadata!C606&gt;0))</f>
        <v>0</v>
      </c>
      <c r="X606">
        <f>AND(IF(metadata!D606="",FALSE,TRUE),exact(metadata!D606,"weeks"))</f>
        <v>0</v>
      </c>
      <c r="Y606">
        <f>AND(IF(metadata!E606="",FALSE,TRUE),exact(metadata!E606,"urban biome"))</f>
        <v>0</v>
      </c>
      <c r="Z606">
        <f>AND(IF(metadata!F606="",FALSE,TRUE),exact(metadata!F606,"animal-associated habitat"))</f>
        <v>0</v>
      </c>
      <c r="AA606">
        <f>AND(IF(metadata!G606="",FALSE,TRUE),exact(metadata!G606,"mouse"))</f>
        <v>0</v>
      </c>
      <c r="AB606">
        <f>AND(IF(metadata!H606="",FALSE,TRUE),exact(metadata!H606,"Mus musculus"))</f>
        <v>0</v>
      </c>
      <c r="AC606">
        <f>AND(IF(metadata!I606="",FALSE,TRUE),exact(metadata!I606,"10090"))</f>
        <v>0</v>
      </c>
      <c r="AD606">
        <f>OR(AND(IF(metadata!J606="",FALSE,TRUE),OR(exact(metadata!J606,"not applicable"),exact(metadata!J606,"missing: not collected"),exact(metadata!J606,"missing: not provided"),exact(metadata!J606,"missing: restricted access"))),AND(IF(metadata!J606="",FALSE,ISNUMBER(VALUE(metadata!J606))),metadata!J606&gt;0))</f>
        <v>0</v>
      </c>
      <c r="AE606">
        <f>AND(IF(metadata!K606="",FALSE,TRUE),exact(metadata!K606,"g"))</f>
        <v>0</v>
      </c>
    </row>
    <row r="607" spans="1:31">
      <c r="A607" s="5">
        <f>IF(B607=" "," ",HYPERLINK(CONCATENATE("#metadata!",ADDRESS(INDEX($Q$2:$Q$1001,MATCH(ROWS($O$2:O607),$O$2:$O$1001,0),0),1)),INDEX($T$2:$T$1001,MATCH(ROWS($O$2:O607),$O$2:$O$1001,0),0)))</f>
        <v>0</v>
      </c>
      <c r="B607" s="4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4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4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4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4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4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4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4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4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4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OR(AND(IF(metadata!C607="",FALSE,TRUE),OR(exact(metadata!C607,"not applicable"),exact(metadata!C607,"missing: not collected"),exact(metadata!C607,"missing: not provided"),exact(metadata!C607,"missing: restricted access"))),AND(IF(metadata!C607="",FALSE,ISNUMBER(VALUE(metadata!C607))),metadata!C607&gt;0))</f>
        <v>0</v>
      </c>
      <c r="X607">
        <f>AND(IF(metadata!D607="",FALSE,TRUE),exact(metadata!D607,"weeks"))</f>
        <v>0</v>
      </c>
      <c r="Y607">
        <f>AND(IF(metadata!E607="",FALSE,TRUE),exact(metadata!E607,"urban biome"))</f>
        <v>0</v>
      </c>
      <c r="Z607">
        <f>AND(IF(metadata!F607="",FALSE,TRUE),exact(metadata!F607,"animal-associated habitat"))</f>
        <v>0</v>
      </c>
      <c r="AA607">
        <f>AND(IF(metadata!G607="",FALSE,TRUE),exact(metadata!G607,"mouse"))</f>
        <v>0</v>
      </c>
      <c r="AB607">
        <f>AND(IF(metadata!H607="",FALSE,TRUE),exact(metadata!H607,"Mus musculus"))</f>
        <v>0</v>
      </c>
      <c r="AC607">
        <f>AND(IF(metadata!I607="",FALSE,TRUE),exact(metadata!I607,"10090"))</f>
        <v>0</v>
      </c>
      <c r="AD607">
        <f>OR(AND(IF(metadata!J607="",FALSE,TRUE),OR(exact(metadata!J607,"not applicable"),exact(metadata!J607,"missing: not collected"),exact(metadata!J607,"missing: not provided"),exact(metadata!J607,"missing: restricted access"))),AND(IF(metadata!J607="",FALSE,ISNUMBER(VALUE(metadata!J607))),metadata!J607&gt;0))</f>
        <v>0</v>
      </c>
      <c r="AE607">
        <f>AND(IF(metadata!K607="",FALSE,TRUE),exact(metadata!K607,"g"))</f>
        <v>0</v>
      </c>
    </row>
    <row r="608" spans="1:31">
      <c r="A608" s="5">
        <f>IF(B608=" "," ",HYPERLINK(CONCATENATE("#metadata!",ADDRESS(INDEX($Q$2:$Q$1001,MATCH(ROWS($O$2:O608),$O$2:$O$1001,0),0),1)),INDEX($T$2:$T$1001,MATCH(ROWS($O$2:O608),$O$2:$O$1001,0),0)))</f>
        <v>0</v>
      </c>
      <c r="B608" s="4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4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4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4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4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4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4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4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4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4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OR(AND(IF(metadata!C608="",FALSE,TRUE),OR(exact(metadata!C608,"not applicable"),exact(metadata!C608,"missing: not collected"),exact(metadata!C608,"missing: not provided"),exact(metadata!C608,"missing: restricted access"))),AND(IF(metadata!C608="",FALSE,ISNUMBER(VALUE(metadata!C608))),metadata!C608&gt;0))</f>
        <v>0</v>
      </c>
      <c r="X608">
        <f>AND(IF(metadata!D608="",FALSE,TRUE),exact(metadata!D608,"weeks"))</f>
        <v>0</v>
      </c>
      <c r="Y608">
        <f>AND(IF(metadata!E608="",FALSE,TRUE),exact(metadata!E608,"urban biome"))</f>
        <v>0</v>
      </c>
      <c r="Z608">
        <f>AND(IF(metadata!F608="",FALSE,TRUE),exact(metadata!F608,"animal-associated habitat"))</f>
        <v>0</v>
      </c>
      <c r="AA608">
        <f>AND(IF(metadata!G608="",FALSE,TRUE),exact(metadata!G608,"mouse"))</f>
        <v>0</v>
      </c>
      <c r="AB608">
        <f>AND(IF(metadata!H608="",FALSE,TRUE),exact(metadata!H608,"Mus musculus"))</f>
        <v>0</v>
      </c>
      <c r="AC608">
        <f>AND(IF(metadata!I608="",FALSE,TRUE),exact(metadata!I608,"10090"))</f>
        <v>0</v>
      </c>
      <c r="AD608">
        <f>OR(AND(IF(metadata!J608="",FALSE,TRUE),OR(exact(metadata!J608,"not applicable"),exact(metadata!J608,"missing: not collected"),exact(metadata!J608,"missing: not provided"),exact(metadata!J608,"missing: restricted access"))),AND(IF(metadata!J608="",FALSE,ISNUMBER(VALUE(metadata!J608))),metadata!J608&gt;0))</f>
        <v>0</v>
      </c>
      <c r="AE608">
        <f>AND(IF(metadata!K608="",FALSE,TRUE),exact(metadata!K608,"g"))</f>
        <v>0</v>
      </c>
    </row>
    <row r="609" spans="1:31">
      <c r="A609" s="5">
        <f>IF(B609=" "," ",HYPERLINK(CONCATENATE("#metadata!",ADDRESS(INDEX($Q$2:$Q$1001,MATCH(ROWS($O$2:O609),$O$2:$O$1001,0),0),1)),INDEX($T$2:$T$1001,MATCH(ROWS($O$2:O609),$O$2:$O$1001,0),0)))</f>
        <v>0</v>
      </c>
      <c r="B609" s="4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4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4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4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4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4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4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4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4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4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OR(AND(IF(metadata!C609="",FALSE,TRUE),OR(exact(metadata!C609,"not applicable"),exact(metadata!C609,"missing: not collected"),exact(metadata!C609,"missing: not provided"),exact(metadata!C609,"missing: restricted access"))),AND(IF(metadata!C609="",FALSE,ISNUMBER(VALUE(metadata!C609))),metadata!C609&gt;0))</f>
        <v>0</v>
      </c>
      <c r="X609">
        <f>AND(IF(metadata!D609="",FALSE,TRUE),exact(metadata!D609,"weeks"))</f>
        <v>0</v>
      </c>
      <c r="Y609">
        <f>AND(IF(metadata!E609="",FALSE,TRUE),exact(metadata!E609,"urban biome"))</f>
        <v>0</v>
      </c>
      <c r="Z609">
        <f>AND(IF(metadata!F609="",FALSE,TRUE),exact(metadata!F609,"animal-associated habitat"))</f>
        <v>0</v>
      </c>
      <c r="AA609">
        <f>AND(IF(metadata!G609="",FALSE,TRUE),exact(metadata!G609,"mouse"))</f>
        <v>0</v>
      </c>
      <c r="AB609">
        <f>AND(IF(metadata!H609="",FALSE,TRUE),exact(metadata!H609,"Mus musculus"))</f>
        <v>0</v>
      </c>
      <c r="AC609">
        <f>AND(IF(metadata!I609="",FALSE,TRUE),exact(metadata!I609,"10090"))</f>
        <v>0</v>
      </c>
      <c r="AD609">
        <f>OR(AND(IF(metadata!J609="",FALSE,TRUE),OR(exact(metadata!J609,"not applicable"),exact(metadata!J609,"missing: not collected"),exact(metadata!J609,"missing: not provided"),exact(metadata!J609,"missing: restricted access"))),AND(IF(metadata!J609="",FALSE,ISNUMBER(VALUE(metadata!J609))),metadata!J609&gt;0))</f>
        <v>0</v>
      </c>
      <c r="AE609">
        <f>AND(IF(metadata!K609="",FALSE,TRUE),exact(metadata!K609,"g"))</f>
        <v>0</v>
      </c>
    </row>
    <row r="610" spans="1:31">
      <c r="A610" s="5">
        <f>IF(B610=" "," ",HYPERLINK(CONCATENATE("#metadata!",ADDRESS(INDEX($Q$2:$Q$1001,MATCH(ROWS($O$2:O610),$O$2:$O$1001,0),0),1)),INDEX($T$2:$T$1001,MATCH(ROWS($O$2:O610),$O$2:$O$1001,0),0)))</f>
        <v>0</v>
      </c>
      <c r="B610" s="4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4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4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4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4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4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4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4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4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4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OR(AND(IF(metadata!C610="",FALSE,TRUE),OR(exact(metadata!C610,"not applicable"),exact(metadata!C610,"missing: not collected"),exact(metadata!C610,"missing: not provided"),exact(metadata!C610,"missing: restricted access"))),AND(IF(metadata!C610="",FALSE,ISNUMBER(VALUE(metadata!C610))),metadata!C610&gt;0))</f>
        <v>0</v>
      </c>
      <c r="X610">
        <f>AND(IF(metadata!D610="",FALSE,TRUE),exact(metadata!D610,"weeks"))</f>
        <v>0</v>
      </c>
      <c r="Y610">
        <f>AND(IF(metadata!E610="",FALSE,TRUE),exact(metadata!E610,"urban biome"))</f>
        <v>0</v>
      </c>
      <c r="Z610">
        <f>AND(IF(metadata!F610="",FALSE,TRUE),exact(metadata!F610,"animal-associated habitat"))</f>
        <v>0</v>
      </c>
      <c r="AA610">
        <f>AND(IF(metadata!G610="",FALSE,TRUE),exact(metadata!G610,"mouse"))</f>
        <v>0</v>
      </c>
      <c r="AB610">
        <f>AND(IF(metadata!H610="",FALSE,TRUE),exact(metadata!H610,"Mus musculus"))</f>
        <v>0</v>
      </c>
      <c r="AC610">
        <f>AND(IF(metadata!I610="",FALSE,TRUE),exact(metadata!I610,"10090"))</f>
        <v>0</v>
      </c>
      <c r="AD610">
        <f>OR(AND(IF(metadata!J610="",FALSE,TRUE),OR(exact(metadata!J610,"not applicable"),exact(metadata!J610,"missing: not collected"),exact(metadata!J610,"missing: not provided"),exact(metadata!J610,"missing: restricted access"))),AND(IF(metadata!J610="",FALSE,ISNUMBER(VALUE(metadata!J610))),metadata!J610&gt;0))</f>
        <v>0</v>
      </c>
      <c r="AE610">
        <f>AND(IF(metadata!K610="",FALSE,TRUE),exact(metadata!K610,"g"))</f>
        <v>0</v>
      </c>
    </row>
    <row r="611" spans="1:31">
      <c r="A611" s="5">
        <f>IF(B611=" "," ",HYPERLINK(CONCATENATE("#metadata!",ADDRESS(INDEX($Q$2:$Q$1001,MATCH(ROWS($O$2:O611),$O$2:$O$1001,0),0),1)),INDEX($T$2:$T$1001,MATCH(ROWS($O$2:O611),$O$2:$O$1001,0),0)))</f>
        <v>0</v>
      </c>
      <c r="B611" s="4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4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4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4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4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4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4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4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4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4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OR(AND(IF(metadata!C611="",FALSE,TRUE),OR(exact(metadata!C611,"not applicable"),exact(metadata!C611,"missing: not collected"),exact(metadata!C611,"missing: not provided"),exact(metadata!C611,"missing: restricted access"))),AND(IF(metadata!C611="",FALSE,ISNUMBER(VALUE(metadata!C611))),metadata!C611&gt;0))</f>
        <v>0</v>
      </c>
      <c r="X611">
        <f>AND(IF(metadata!D611="",FALSE,TRUE),exact(metadata!D611,"weeks"))</f>
        <v>0</v>
      </c>
      <c r="Y611">
        <f>AND(IF(metadata!E611="",FALSE,TRUE),exact(metadata!E611,"urban biome"))</f>
        <v>0</v>
      </c>
      <c r="Z611">
        <f>AND(IF(metadata!F611="",FALSE,TRUE),exact(metadata!F611,"animal-associated habitat"))</f>
        <v>0</v>
      </c>
      <c r="AA611">
        <f>AND(IF(metadata!G611="",FALSE,TRUE),exact(metadata!G611,"mouse"))</f>
        <v>0</v>
      </c>
      <c r="AB611">
        <f>AND(IF(metadata!H611="",FALSE,TRUE),exact(metadata!H611,"Mus musculus"))</f>
        <v>0</v>
      </c>
      <c r="AC611">
        <f>AND(IF(metadata!I611="",FALSE,TRUE),exact(metadata!I611,"10090"))</f>
        <v>0</v>
      </c>
      <c r="AD611">
        <f>OR(AND(IF(metadata!J611="",FALSE,TRUE),OR(exact(metadata!J611,"not applicable"),exact(metadata!J611,"missing: not collected"),exact(metadata!J611,"missing: not provided"),exact(metadata!J611,"missing: restricted access"))),AND(IF(metadata!J611="",FALSE,ISNUMBER(VALUE(metadata!J611))),metadata!J611&gt;0))</f>
        <v>0</v>
      </c>
      <c r="AE611">
        <f>AND(IF(metadata!K611="",FALSE,TRUE),exact(metadata!K611,"g"))</f>
        <v>0</v>
      </c>
    </row>
    <row r="612" spans="1:31">
      <c r="A612" s="5">
        <f>IF(B612=" "," ",HYPERLINK(CONCATENATE("#metadata!",ADDRESS(INDEX($Q$2:$Q$1001,MATCH(ROWS($O$2:O612),$O$2:$O$1001,0),0),1)),INDEX($T$2:$T$1001,MATCH(ROWS($O$2:O612),$O$2:$O$1001,0),0)))</f>
        <v>0</v>
      </c>
      <c r="B612" s="4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4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4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4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4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4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4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4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4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4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OR(AND(IF(metadata!C612="",FALSE,TRUE),OR(exact(metadata!C612,"not applicable"),exact(metadata!C612,"missing: not collected"),exact(metadata!C612,"missing: not provided"),exact(metadata!C612,"missing: restricted access"))),AND(IF(metadata!C612="",FALSE,ISNUMBER(VALUE(metadata!C612))),metadata!C612&gt;0))</f>
        <v>0</v>
      </c>
      <c r="X612">
        <f>AND(IF(metadata!D612="",FALSE,TRUE),exact(metadata!D612,"weeks"))</f>
        <v>0</v>
      </c>
      <c r="Y612">
        <f>AND(IF(metadata!E612="",FALSE,TRUE),exact(metadata!E612,"urban biome"))</f>
        <v>0</v>
      </c>
      <c r="Z612">
        <f>AND(IF(metadata!F612="",FALSE,TRUE),exact(metadata!F612,"animal-associated habitat"))</f>
        <v>0</v>
      </c>
      <c r="AA612">
        <f>AND(IF(metadata!G612="",FALSE,TRUE),exact(metadata!G612,"mouse"))</f>
        <v>0</v>
      </c>
      <c r="AB612">
        <f>AND(IF(metadata!H612="",FALSE,TRUE),exact(metadata!H612,"Mus musculus"))</f>
        <v>0</v>
      </c>
      <c r="AC612">
        <f>AND(IF(metadata!I612="",FALSE,TRUE),exact(metadata!I612,"10090"))</f>
        <v>0</v>
      </c>
      <c r="AD612">
        <f>OR(AND(IF(metadata!J612="",FALSE,TRUE),OR(exact(metadata!J612,"not applicable"),exact(metadata!J612,"missing: not collected"),exact(metadata!J612,"missing: not provided"),exact(metadata!J612,"missing: restricted access"))),AND(IF(metadata!J612="",FALSE,ISNUMBER(VALUE(metadata!J612))),metadata!J612&gt;0))</f>
        <v>0</v>
      </c>
      <c r="AE612">
        <f>AND(IF(metadata!K612="",FALSE,TRUE),exact(metadata!K612,"g"))</f>
        <v>0</v>
      </c>
    </row>
    <row r="613" spans="1:31">
      <c r="A613" s="5">
        <f>IF(B613=" "," ",HYPERLINK(CONCATENATE("#metadata!",ADDRESS(INDEX($Q$2:$Q$1001,MATCH(ROWS($O$2:O613),$O$2:$O$1001,0),0),1)),INDEX($T$2:$T$1001,MATCH(ROWS($O$2:O613),$O$2:$O$1001,0),0)))</f>
        <v>0</v>
      </c>
      <c r="B613" s="4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4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4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4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4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4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4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4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4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4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OR(AND(IF(metadata!C613="",FALSE,TRUE),OR(exact(metadata!C613,"not applicable"),exact(metadata!C613,"missing: not collected"),exact(metadata!C613,"missing: not provided"),exact(metadata!C613,"missing: restricted access"))),AND(IF(metadata!C613="",FALSE,ISNUMBER(VALUE(metadata!C613))),metadata!C613&gt;0))</f>
        <v>0</v>
      </c>
      <c r="X613">
        <f>AND(IF(metadata!D613="",FALSE,TRUE),exact(metadata!D613,"weeks"))</f>
        <v>0</v>
      </c>
      <c r="Y613">
        <f>AND(IF(metadata!E613="",FALSE,TRUE),exact(metadata!E613,"urban biome"))</f>
        <v>0</v>
      </c>
      <c r="Z613">
        <f>AND(IF(metadata!F613="",FALSE,TRUE),exact(metadata!F613,"animal-associated habitat"))</f>
        <v>0</v>
      </c>
      <c r="AA613">
        <f>AND(IF(metadata!G613="",FALSE,TRUE),exact(metadata!G613,"mouse"))</f>
        <v>0</v>
      </c>
      <c r="AB613">
        <f>AND(IF(metadata!H613="",FALSE,TRUE),exact(metadata!H613,"Mus musculus"))</f>
        <v>0</v>
      </c>
      <c r="AC613">
        <f>AND(IF(metadata!I613="",FALSE,TRUE),exact(metadata!I613,"10090"))</f>
        <v>0</v>
      </c>
      <c r="AD613">
        <f>OR(AND(IF(metadata!J613="",FALSE,TRUE),OR(exact(metadata!J613,"not applicable"),exact(metadata!J613,"missing: not collected"),exact(metadata!J613,"missing: not provided"),exact(metadata!J613,"missing: restricted access"))),AND(IF(metadata!J613="",FALSE,ISNUMBER(VALUE(metadata!J613))),metadata!J613&gt;0))</f>
        <v>0</v>
      </c>
      <c r="AE613">
        <f>AND(IF(metadata!K613="",FALSE,TRUE),exact(metadata!K613,"g"))</f>
        <v>0</v>
      </c>
    </row>
    <row r="614" spans="1:31">
      <c r="A614" s="5">
        <f>IF(B614=" "," ",HYPERLINK(CONCATENATE("#metadata!",ADDRESS(INDEX($Q$2:$Q$1001,MATCH(ROWS($O$2:O614),$O$2:$O$1001,0),0),1)),INDEX($T$2:$T$1001,MATCH(ROWS($O$2:O614),$O$2:$O$1001,0),0)))</f>
        <v>0</v>
      </c>
      <c r="B614" s="4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4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4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4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4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4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4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4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4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4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OR(AND(IF(metadata!C614="",FALSE,TRUE),OR(exact(metadata!C614,"not applicable"),exact(metadata!C614,"missing: not collected"),exact(metadata!C614,"missing: not provided"),exact(metadata!C614,"missing: restricted access"))),AND(IF(metadata!C614="",FALSE,ISNUMBER(VALUE(metadata!C614))),metadata!C614&gt;0))</f>
        <v>0</v>
      </c>
      <c r="X614">
        <f>AND(IF(metadata!D614="",FALSE,TRUE),exact(metadata!D614,"weeks"))</f>
        <v>0</v>
      </c>
      <c r="Y614">
        <f>AND(IF(metadata!E614="",FALSE,TRUE),exact(metadata!E614,"urban biome"))</f>
        <v>0</v>
      </c>
      <c r="Z614">
        <f>AND(IF(metadata!F614="",FALSE,TRUE),exact(metadata!F614,"animal-associated habitat"))</f>
        <v>0</v>
      </c>
      <c r="AA614">
        <f>AND(IF(metadata!G614="",FALSE,TRUE),exact(metadata!G614,"mouse"))</f>
        <v>0</v>
      </c>
      <c r="AB614">
        <f>AND(IF(metadata!H614="",FALSE,TRUE),exact(metadata!H614,"Mus musculus"))</f>
        <v>0</v>
      </c>
      <c r="AC614">
        <f>AND(IF(metadata!I614="",FALSE,TRUE),exact(metadata!I614,"10090"))</f>
        <v>0</v>
      </c>
      <c r="AD614">
        <f>OR(AND(IF(metadata!J614="",FALSE,TRUE),OR(exact(metadata!J614,"not applicable"),exact(metadata!J614,"missing: not collected"),exact(metadata!J614,"missing: not provided"),exact(metadata!J614,"missing: restricted access"))),AND(IF(metadata!J614="",FALSE,ISNUMBER(VALUE(metadata!J614))),metadata!J614&gt;0))</f>
        <v>0</v>
      </c>
      <c r="AE614">
        <f>AND(IF(metadata!K614="",FALSE,TRUE),exact(metadata!K614,"g"))</f>
        <v>0</v>
      </c>
    </row>
    <row r="615" spans="1:31">
      <c r="A615" s="5">
        <f>IF(B615=" "," ",HYPERLINK(CONCATENATE("#metadata!",ADDRESS(INDEX($Q$2:$Q$1001,MATCH(ROWS($O$2:O615),$O$2:$O$1001,0),0),1)),INDEX($T$2:$T$1001,MATCH(ROWS($O$2:O615),$O$2:$O$1001,0),0)))</f>
        <v>0</v>
      </c>
      <c r="B615" s="4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4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4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4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4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4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4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4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4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4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OR(AND(IF(metadata!C615="",FALSE,TRUE),OR(exact(metadata!C615,"not applicable"),exact(metadata!C615,"missing: not collected"),exact(metadata!C615,"missing: not provided"),exact(metadata!C615,"missing: restricted access"))),AND(IF(metadata!C615="",FALSE,ISNUMBER(VALUE(metadata!C615))),metadata!C615&gt;0))</f>
        <v>0</v>
      </c>
      <c r="X615">
        <f>AND(IF(metadata!D615="",FALSE,TRUE),exact(metadata!D615,"weeks"))</f>
        <v>0</v>
      </c>
      <c r="Y615">
        <f>AND(IF(metadata!E615="",FALSE,TRUE),exact(metadata!E615,"urban biome"))</f>
        <v>0</v>
      </c>
      <c r="Z615">
        <f>AND(IF(metadata!F615="",FALSE,TRUE),exact(metadata!F615,"animal-associated habitat"))</f>
        <v>0</v>
      </c>
      <c r="AA615">
        <f>AND(IF(metadata!G615="",FALSE,TRUE),exact(metadata!G615,"mouse"))</f>
        <v>0</v>
      </c>
      <c r="AB615">
        <f>AND(IF(metadata!H615="",FALSE,TRUE),exact(metadata!H615,"Mus musculus"))</f>
        <v>0</v>
      </c>
      <c r="AC615">
        <f>AND(IF(metadata!I615="",FALSE,TRUE),exact(metadata!I615,"10090"))</f>
        <v>0</v>
      </c>
      <c r="AD615">
        <f>OR(AND(IF(metadata!J615="",FALSE,TRUE),OR(exact(metadata!J615,"not applicable"),exact(metadata!J615,"missing: not collected"),exact(metadata!J615,"missing: not provided"),exact(metadata!J615,"missing: restricted access"))),AND(IF(metadata!J615="",FALSE,ISNUMBER(VALUE(metadata!J615))),metadata!J615&gt;0))</f>
        <v>0</v>
      </c>
      <c r="AE615">
        <f>AND(IF(metadata!K615="",FALSE,TRUE),exact(metadata!K615,"g"))</f>
        <v>0</v>
      </c>
    </row>
    <row r="616" spans="1:31">
      <c r="A616" s="5">
        <f>IF(B616=" "," ",HYPERLINK(CONCATENATE("#metadata!",ADDRESS(INDEX($Q$2:$Q$1001,MATCH(ROWS($O$2:O616),$O$2:$O$1001,0),0),1)),INDEX($T$2:$T$1001,MATCH(ROWS($O$2:O616),$O$2:$O$1001,0),0)))</f>
        <v>0</v>
      </c>
      <c r="B616" s="4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4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4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4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4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4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4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4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4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4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OR(AND(IF(metadata!C616="",FALSE,TRUE),OR(exact(metadata!C616,"not applicable"),exact(metadata!C616,"missing: not collected"),exact(metadata!C616,"missing: not provided"),exact(metadata!C616,"missing: restricted access"))),AND(IF(metadata!C616="",FALSE,ISNUMBER(VALUE(metadata!C616))),metadata!C616&gt;0))</f>
        <v>0</v>
      </c>
      <c r="X616">
        <f>AND(IF(metadata!D616="",FALSE,TRUE),exact(metadata!D616,"weeks"))</f>
        <v>0</v>
      </c>
      <c r="Y616">
        <f>AND(IF(metadata!E616="",FALSE,TRUE),exact(metadata!E616,"urban biome"))</f>
        <v>0</v>
      </c>
      <c r="Z616">
        <f>AND(IF(metadata!F616="",FALSE,TRUE),exact(metadata!F616,"animal-associated habitat"))</f>
        <v>0</v>
      </c>
      <c r="AA616">
        <f>AND(IF(metadata!G616="",FALSE,TRUE),exact(metadata!G616,"mouse"))</f>
        <v>0</v>
      </c>
      <c r="AB616">
        <f>AND(IF(metadata!H616="",FALSE,TRUE),exact(metadata!H616,"Mus musculus"))</f>
        <v>0</v>
      </c>
      <c r="AC616">
        <f>AND(IF(metadata!I616="",FALSE,TRUE),exact(metadata!I616,"10090"))</f>
        <v>0</v>
      </c>
      <c r="AD616">
        <f>OR(AND(IF(metadata!J616="",FALSE,TRUE),OR(exact(metadata!J616,"not applicable"),exact(metadata!J616,"missing: not collected"),exact(metadata!J616,"missing: not provided"),exact(metadata!J616,"missing: restricted access"))),AND(IF(metadata!J616="",FALSE,ISNUMBER(VALUE(metadata!J616))),metadata!J616&gt;0))</f>
        <v>0</v>
      </c>
      <c r="AE616">
        <f>AND(IF(metadata!K616="",FALSE,TRUE),exact(metadata!K616,"g"))</f>
        <v>0</v>
      </c>
    </row>
    <row r="617" spans="1:31">
      <c r="A617" s="5">
        <f>IF(B617=" "," ",HYPERLINK(CONCATENATE("#metadata!",ADDRESS(INDEX($Q$2:$Q$1001,MATCH(ROWS($O$2:O617),$O$2:$O$1001,0),0),1)),INDEX($T$2:$T$1001,MATCH(ROWS($O$2:O617),$O$2:$O$1001,0),0)))</f>
        <v>0</v>
      </c>
      <c r="B617" s="4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4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4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4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4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4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4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4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4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4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OR(AND(IF(metadata!C617="",FALSE,TRUE),OR(exact(metadata!C617,"not applicable"),exact(metadata!C617,"missing: not collected"),exact(metadata!C617,"missing: not provided"),exact(metadata!C617,"missing: restricted access"))),AND(IF(metadata!C617="",FALSE,ISNUMBER(VALUE(metadata!C617))),metadata!C617&gt;0))</f>
        <v>0</v>
      </c>
      <c r="X617">
        <f>AND(IF(metadata!D617="",FALSE,TRUE),exact(metadata!D617,"weeks"))</f>
        <v>0</v>
      </c>
      <c r="Y617">
        <f>AND(IF(metadata!E617="",FALSE,TRUE),exact(metadata!E617,"urban biome"))</f>
        <v>0</v>
      </c>
      <c r="Z617">
        <f>AND(IF(metadata!F617="",FALSE,TRUE),exact(metadata!F617,"animal-associated habitat"))</f>
        <v>0</v>
      </c>
      <c r="AA617">
        <f>AND(IF(metadata!G617="",FALSE,TRUE),exact(metadata!G617,"mouse"))</f>
        <v>0</v>
      </c>
      <c r="AB617">
        <f>AND(IF(metadata!H617="",FALSE,TRUE),exact(metadata!H617,"Mus musculus"))</f>
        <v>0</v>
      </c>
      <c r="AC617">
        <f>AND(IF(metadata!I617="",FALSE,TRUE),exact(metadata!I617,"10090"))</f>
        <v>0</v>
      </c>
      <c r="AD617">
        <f>OR(AND(IF(metadata!J617="",FALSE,TRUE),OR(exact(metadata!J617,"not applicable"),exact(metadata!J617,"missing: not collected"),exact(metadata!J617,"missing: not provided"),exact(metadata!J617,"missing: restricted access"))),AND(IF(metadata!J617="",FALSE,ISNUMBER(VALUE(metadata!J617))),metadata!J617&gt;0))</f>
        <v>0</v>
      </c>
      <c r="AE617">
        <f>AND(IF(metadata!K617="",FALSE,TRUE),exact(metadata!K617,"g"))</f>
        <v>0</v>
      </c>
    </row>
    <row r="618" spans="1:31">
      <c r="A618" s="5">
        <f>IF(B618=" "," ",HYPERLINK(CONCATENATE("#metadata!",ADDRESS(INDEX($Q$2:$Q$1001,MATCH(ROWS($O$2:O618),$O$2:$O$1001,0),0),1)),INDEX($T$2:$T$1001,MATCH(ROWS($O$2:O618),$O$2:$O$1001,0),0)))</f>
        <v>0</v>
      </c>
      <c r="B618" s="4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4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4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4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4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4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4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4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4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4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OR(AND(IF(metadata!C618="",FALSE,TRUE),OR(exact(metadata!C618,"not applicable"),exact(metadata!C618,"missing: not collected"),exact(metadata!C618,"missing: not provided"),exact(metadata!C618,"missing: restricted access"))),AND(IF(metadata!C618="",FALSE,ISNUMBER(VALUE(metadata!C618))),metadata!C618&gt;0))</f>
        <v>0</v>
      </c>
      <c r="X618">
        <f>AND(IF(metadata!D618="",FALSE,TRUE),exact(metadata!D618,"weeks"))</f>
        <v>0</v>
      </c>
      <c r="Y618">
        <f>AND(IF(metadata!E618="",FALSE,TRUE),exact(metadata!E618,"urban biome"))</f>
        <v>0</v>
      </c>
      <c r="Z618">
        <f>AND(IF(metadata!F618="",FALSE,TRUE),exact(metadata!F618,"animal-associated habitat"))</f>
        <v>0</v>
      </c>
      <c r="AA618">
        <f>AND(IF(metadata!G618="",FALSE,TRUE),exact(metadata!G618,"mouse"))</f>
        <v>0</v>
      </c>
      <c r="AB618">
        <f>AND(IF(metadata!H618="",FALSE,TRUE),exact(metadata!H618,"Mus musculus"))</f>
        <v>0</v>
      </c>
      <c r="AC618">
        <f>AND(IF(metadata!I618="",FALSE,TRUE),exact(metadata!I618,"10090"))</f>
        <v>0</v>
      </c>
      <c r="AD618">
        <f>OR(AND(IF(metadata!J618="",FALSE,TRUE),OR(exact(metadata!J618,"not applicable"),exact(metadata!J618,"missing: not collected"),exact(metadata!J618,"missing: not provided"),exact(metadata!J618,"missing: restricted access"))),AND(IF(metadata!J618="",FALSE,ISNUMBER(VALUE(metadata!J618))),metadata!J618&gt;0))</f>
        <v>0</v>
      </c>
      <c r="AE618">
        <f>AND(IF(metadata!K618="",FALSE,TRUE),exact(metadata!K618,"g"))</f>
        <v>0</v>
      </c>
    </row>
    <row r="619" spans="1:31">
      <c r="A619" s="5">
        <f>IF(B619=" "," ",HYPERLINK(CONCATENATE("#metadata!",ADDRESS(INDEX($Q$2:$Q$1001,MATCH(ROWS($O$2:O619),$O$2:$O$1001,0),0),1)),INDEX($T$2:$T$1001,MATCH(ROWS($O$2:O619),$O$2:$O$1001,0),0)))</f>
        <v>0</v>
      </c>
      <c r="B619" s="4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4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4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4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4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4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4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4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4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4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OR(AND(IF(metadata!C619="",FALSE,TRUE),OR(exact(metadata!C619,"not applicable"),exact(metadata!C619,"missing: not collected"),exact(metadata!C619,"missing: not provided"),exact(metadata!C619,"missing: restricted access"))),AND(IF(metadata!C619="",FALSE,ISNUMBER(VALUE(metadata!C619))),metadata!C619&gt;0))</f>
        <v>0</v>
      </c>
      <c r="X619">
        <f>AND(IF(metadata!D619="",FALSE,TRUE),exact(metadata!D619,"weeks"))</f>
        <v>0</v>
      </c>
      <c r="Y619">
        <f>AND(IF(metadata!E619="",FALSE,TRUE),exact(metadata!E619,"urban biome"))</f>
        <v>0</v>
      </c>
      <c r="Z619">
        <f>AND(IF(metadata!F619="",FALSE,TRUE),exact(metadata!F619,"animal-associated habitat"))</f>
        <v>0</v>
      </c>
      <c r="AA619">
        <f>AND(IF(metadata!G619="",FALSE,TRUE),exact(metadata!G619,"mouse"))</f>
        <v>0</v>
      </c>
      <c r="AB619">
        <f>AND(IF(metadata!H619="",FALSE,TRUE),exact(metadata!H619,"Mus musculus"))</f>
        <v>0</v>
      </c>
      <c r="AC619">
        <f>AND(IF(metadata!I619="",FALSE,TRUE),exact(metadata!I619,"10090"))</f>
        <v>0</v>
      </c>
      <c r="AD619">
        <f>OR(AND(IF(metadata!J619="",FALSE,TRUE),OR(exact(metadata!J619,"not applicable"),exact(metadata!J619,"missing: not collected"),exact(metadata!J619,"missing: not provided"),exact(metadata!J619,"missing: restricted access"))),AND(IF(metadata!J619="",FALSE,ISNUMBER(VALUE(metadata!J619))),metadata!J619&gt;0))</f>
        <v>0</v>
      </c>
      <c r="AE619">
        <f>AND(IF(metadata!K619="",FALSE,TRUE),exact(metadata!K619,"g"))</f>
        <v>0</v>
      </c>
    </row>
    <row r="620" spans="1:31">
      <c r="A620" s="5">
        <f>IF(B620=" "," ",HYPERLINK(CONCATENATE("#metadata!",ADDRESS(INDEX($Q$2:$Q$1001,MATCH(ROWS($O$2:O620),$O$2:$O$1001,0),0),1)),INDEX($T$2:$T$1001,MATCH(ROWS($O$2:O620),$O$2:$O$1001,0),0)))</f>
        <v>0</v>
      </c>
      <c r="B620" s="4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4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4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4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4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4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4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4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4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4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OR(AND(IF(metadata!C620="",FALSE,TRUE),OR(exact(metadata!C620,"not applicable"),exact(metadata!C620,"missing: not collected"),exact(metadata!C620,"missing: not provided"),exact(metadata!C620,"missing: restricted access"))),AND(IF(metadata!C620="",FALSE,ISNUMBER(VALUE(metadata!C620))),metadata!C620&gt;0))</f>
        <v>0</v>
      </c>
      <c r="X620">
        <f>AND(IF(metadata!D620="",FALSE,TRUE),exact(metadata!D620,"weeks"))</f>
        <v>0</v>
      </c>
      <c r="Y620">
        <f>AND(IF(metadata!E620="",FALSE,TRUE),exact(metadata!E620,"urban biome"))</f>
        <v>0</v>
      </c>
      <c r="Z620">
        <f>AND(IF(metadata!F620="",FALSE,TRUE),exact(metadata!F620,"animal-associated habitat"))</f>
        <v>0</v>
      </c>
      <c r="AA620">
        <f>AND(IF(metadata!G620="",FALSE,TRUE),exact(metadata!G620,"mouse"))</f>
        <v>0</v>
      </c>
      <c r="AB620">
        <f>AND(IF(metadata!H620="",FALSE,TRUE),exact(metadata!H620,"Mus musculus"))</f>
        <v>0</v>
      </c>
      <c r="AC620">
        <f>AND(IF(metadata!I620="",FALSE,TRUE),exact(metadata!I620,"10090"))</f>
        <v>0</v>
      </c>
      <c r="AD620">
        <f>OR(AND(IF(metadata!J620="",FALSE,TRUE),OR(exact(metadata!J620,"not applicable"),exact(metadata!J620,"missing: not collected"),exact(metadata!J620,"missing: not provided"),exact(metadata!J620,"missing: restricted access"))),AND(IF(metadata!J620="",FALSE,ISNUMBER(VALUE(metadata!J620))),metadata!J620&gt;0))</f>
        <v>0</v>
      </c>
      <c r="AE620">
        <f>AND(IF(metadata!K620="",FALSE,TRUE),exact(metadata!K620,"g"))</f>
        <v>0</v>
      </c>
    </row>
    <row r="621" spans="1:31">
      <c r="A621" s="5">
        <f>IF(B621=" "," ",HYPERLINK(CONCATENATE("#metadata!",ADDRESS(INDEX($Q$2:$Q$1001,MATCH(ROWS($O$2:O621),$O$2:$O$1001,0),0),1)),INDEX($T$2:$T$1001,MATCH(ROWS($O$2:O621),$O$2:$O$1001,0),0)))</f>
        <v>0</v>
      </c>
      <c r="B621" s="4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4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4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4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4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4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4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4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4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4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OR(AND(IF(metadata!C621="",FALSE,TRUE),OR(exact(metadata!C621,"not applicable"),exact(metadata!C621,"missing: not collected"),exact(metadata!C621,"missing: not provided"),exact(metadata!C621,"missing: restricted access"))),AND(IF(metadata!C621="",FALSE,ISNUMBER(VALUE(metadata!C621))),metadata!C621&gt;0))</f>
        <v>0</v>
      </c>
      <c r="X621">
        <f>AND(IF(metadata!D621="",FALSE,TRUE),exact(metadata!D621,"weeks"))</f>
        <v>0</v>
      </c>
      <c r="Y621">
        <f>AND(IF(metadata!E621="",FALSE,TRUE),exact(metadata!E621,"urban biome"))</f>
        <v>0</v>
      </c>
      <c r="Z621">
        <f>AND(IF(metadata!F621="",FALSE,TRUE),exact(metadata!F621,"animal-associated habitat"))</f>
        <v>0</v>
      </c>
      <c r="AA621">
        <f>AND(IF(metadata!G621="",FALSE,TRUE),exact(metadata!G621,"mouse"))</f>
        <v>0</v>
      </c>
      <c r="AB621">
        <f>AND(IF(metadata!H621="",FALSE,TRUE),exact(metadata!H621,"Mus musculus"))</f>
        <v>0</v>
      </c>
      <c r="AC621">
        <f>AND(IF(metadata!I621="",FALSE,TRUE),exact(metadata!I621,"10090"))</f>
        <v>0</v>
      </c>
      <c r="AD621">
        <f>OR(AND(IF(metadata!J621="",FALSE,TRUE),OR(exact(metadata!J621,"not applicable"),exact(metadata!J621,"missing: not collected"),exact(metadata!J621,"missing: not provided"),exact(metadata!J621,"missing: restricted access"))),AND(IF(metadata!J621="",FALSE,ISNUMBER(VALUE(metadata!J621))),metadata!J621&gt;0))</f>
        <v>0</v>
      </c>
      <c r="AE621">
        <f>AND(IF(metadata!K621="",FALSE,TRUE),exact(metadata!K621,"g"))</f>
        <v>0</v>
      </c>
    </row>
    <row r="622" spans="1:31">
      <c r="A622" s="5">
        <f>IF(B622=" "," ",HYPERLINK(CONCATENATE("#metadata!",ADDRESS(INDEX($Q$2:$Q$1001,MATCH(ROWS($O$2:O622),$O$2:$O$1001,0),0),1)),INDEX($T$2:$T$1001,MATCH(ROWS($O$2:O622),$O$2:$O$1001,0),0)))</f>
        <v>0</v>
      </c>
      <c r="B622" s="4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4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4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4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4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4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4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4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4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4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OR(AND(IF(metadata!C622="",FALSE,TRUE),OR(exact(metadata!C622,"not applicable"),exact(metadata!C622,"missing: not collected"),exact(metadata!C622,"missing: not provided"),exact(metadata!C622,"missing: restricted access"))),AND(IF(metadata!C622="",FALSE,ISNUMBER(VALUE(metadata!C622))),metadata!C622&gt;0))</f>
        <v>0</v>
      </c>
      <c r="X622">
        <f>AND(IF(metadata!D622="",FALSE,TRUE),exact(metadata!D622,"weeks"))</f>
        <v>0</v>
      </c>
      <c r="Y622">
        <f>AND(IF(metadata!E622="",FALSE,TRUE),exact(metadata!E622,"urban biome"))</f>
        <v>0</v>
      </c>
      <c r="Z622">
        <f>AND(IF(metadata!F622="",FALSE,TRUE),exact(metadata!F622,"animal-associated habitat"))</f>
        <v>0</v>
      </c>
      <c r="AA622">
        <f>AND(IF(metadata!G622="",FALSE,TRUE),exact(metadata!G622,"mouse"))</f>
        <v>0</v>
      </c>
      <c r="AB622">
        <f>AND(IF(metadata!H622="",FALSE,TRUE),exact(metadata!H622,"Mus musculus"))</f>
        <v>0</v>
      </c>
      <c r="AC622">
        <f>AND(IF(metadata!I622="",FALSE,TRUE),exact(metadata!I622,"10090"))</f>
        <v>0</v>
      </c>
      <c r="AD622">
        <f>OR(AND(IF(metadata!J622="",FALSE,TRUE),OR(exact(metadata!J622,"not applicable"),exact(metadata!J622,"missing: not collected"),exact(metadata!J622,"missing: not provided"),exact(metadata!J622,"missing: restricted access"))),AND(IF(metadata!J622="",FALSE,ISNUMBER(VALUE(metadata!J622))),metadata!J622&gt;0))</f>
        <v>0</v>
      </c>
      <c r="AE622">
        <f>AND(IF(metadata!K622="",FALSE,TRUE),exact(metadata!K622,"g"))</f>
        <v>0</v>
      </c>
    </row>
    <row r="623" spans="1:31">
      <c r="A623" s="5">
        <f>IF(B623=" "," ",HYPERLINK(CONCATENATE("#metadata!",ADDRESS(INDEX($Q$2:$Q$1001,MATCH(ROWS($O$2:O623),$O$2:$O$1001,0),0),1)),INDEX($T$2:$T$1001,MATCH(ROWS($O$2:O623),$O$2:$O$1001,0),0)))</f>
        <v>0</v>
      </c>
      <c r="B623" s="4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4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4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4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4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4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4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4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4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4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OR(AND(IF(metadata!C623="",FALSE,TRUE),OR(exact(metadata!C623,"not applicable"),exact(metadata!C623,"missing: not collected"),exact(metadata!C623,"missing: not provided"),exact(metadata!C623,"missing: restricted access"))),AND(IF(metadata!C623="",FALSE,ISNUMBER(VALUE(metadata!C623))),metadata!C623&gt;0))</f>
        <v>0</v>
      </c>
      <c r="X623">
        <f>AND(IF(metadata!D623="",FALSE,TRUE),exact(metadata!D623,"weeks"))</f>
        <v>0</v>
      </c>
      <c r="Y623">
        <f>AND(IF(metadata!E623="",FALSE,TRUE),exact(metadata!E623,"urban biome"))</f>
        <v>0</v>
      </c>
      <c r="Z623">
        <f>AND(IF(metadata!F623="",FALSE,TRUE),exact(metadata!F623,"animal-associated habitat"))</f>
        <v>0</v>
      </c>
      <c r="AA623">
        <f>AND(IF(metadata!G623="",FALSE,TRUE),exact(metadata!G623,"mouse"))</f>
        <v>0</v>
      </c>
      <c r="AB623">
        <f>AND(IF(metadata!H623="",FALSE,TRUE),exact(metadata!H623,"Mus musculus"))</f>
        <v>0</v>
      </c>
      <c r="AC623">
        <f>AND(IF(metadata!I623="",FALSE,TRUE),exact(metadata!I623,"10090"))</f>
        <v>0</v>
      </c>
      <c r="AD623">
        <f>OR(AND(IF(metadata!J623="",FALSE,TRUE),OR(exact(metadata!J623,"not applicable"),exact(metadata!J623,"missing: not collected"),exact(metadata!J623,"missing: not provided"),exact(metadata!J623,"missing: restricted access"))),AND(IF(metadata!J623="",FALSE,ISNUMBER(VALUE(metadata!J623))),metadata!J623&gt;0))</f>
        <v>0</v>
      </c>
      <c r="AE623">
        <f>AND(IF(metadata!K623="",FALSE,TRUE),exact(metadata!K623,"g"))</f>
        <v>0</v>
      </c>
    </row>
    <row r="624" spans="1:31">
      <c r="A624" s="5">
        <f>IF(B624=" "," ",HYPERLINK(CONCATENATE("#metadata!",ADDRESS(INDEX($Q$2:$Q$1001,MATCH(ROWS($O$2:O624),$O$2:$O$1001,0),0),1)),INDEX($T$2:$T$1001,MATCH(ROWS($O$2:O624),$O$2:$O$1001,0),0)))</f>
        <v>0</v>
      </c>
      <c r="B624" s="4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4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4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4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4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4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4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4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4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4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OR(AND(IF(metadata!C624="",FALSE,TRUE),OR(exact(metadata!C624,"not applicable"),exact(metadata!C624,"missing: not collected"),exact(metadata!C624,"missing: not provided"),exact(metadata!C624,"missing: restricted access"))),AND(IF(metadata!C624="",FALSE,ISNUMBER(VALUE(metadata!C624))),metadata!C624&gt;0))</f>
        <v>0</v>
      </c>
      <c r="X624">
        <f>AND(IF(metadata!D624="",FALSE,TRUE),exact(metadata!D624,"weeks"))</f>
        <v>0</v>
      </c>
      <c r="Y624">
        <f>AND(IF(metadata!E624="",FALSE,TRUE),exact(metadata!E624,"urban biome"))</f>
        <v>0</v>
      </c>
      <c r="Z624">
        <f>AND(IF(metadata!F624="",FALSE,TRUE),exact(metadata!F624,"animal-associated habitat"))</f>
        <v>0</v>
      </c>
      <c r="AA624">
        <f>AND(IF(metadata!G624="",FALSE,TRUE),exact(metadata!G624,"mouse"))</f>
        <v>0</v>
      </c>
      <c r="AB624">
        <f>AND(IF(metadata!H624="",FALSE,TRUE),exact(metadata!H624,"Mus musculus"))</f>
        <v>0</v>
      </c>
      <c r="AC624">
        <f>AND(IF(metadata!I624="",FALSE,TRUE),exact(metadata!I624,"10090"))</f>
        <v>0</v>
      </c>
      <c r="AD624">
        <f>OR(AND(IF(metadata!J624="",FALSE,TRUE),OR(exact(metadata!J624,"not applicable"),exact(metadata!J624,"missing: not collected"),exact(metadata!J624,"missing: not provided"),exact(metadata!J624,"missing: restricted access"))),AND(IF(metadata!J624="",FALSE,ISNUMBER(VALUE(metadata!J624))),metadata!J624&gt;0))</f>
        <v>0</v>
      </c>
      <c r="AE624">
        <f>AND(IF(metadata!K624="",FALSE,TRUE),exact(metadata!K624,"g"))</f>
        <v>0</v>
      </c>
    </row>
    <row r="625" spans="1:31">
      <c r="A625" s="5">
        <f>IF(B625=" "," ",HYPERLINK(CONCATENATE("#metadata!",ADDRESS(INDEX($Q$2:$Q$1001,MATCH(ROWS($O$2:O625),$O$2:$O$1001,0),0),1)),INDEX($T$2:$T$1001,MATCH(ROWS($O$2:O625),$O$2:$O$1001,0),0)))</f>
        <v>0</v>
      </c>
      <c r="B625" s="4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4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4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4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4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4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4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4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4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4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OR(AND(IF(metadata!C625="",FALSE,TRUE),OR(exact(metadata!C625,"not applicable"),exact(metadata!C625,"missing: not collected"),exact(metadata!C625,"missing: not provided"),exact(metadata!C625,"missing: restricted access"))),AND(IF(metadata!C625="",FALSE,ISNUMBER(VALUE(metadata!C625))),metadata!C625&gt;0))</f>
        <v>0</v>
      </c>
      <c r="X625">
        <f>AND(IF(metadata!D625="",FALSE,TRUE),exact(metadata!D625,"weeks"))</f>
        <v>0</v>
      </c>
      <c r="Y625">
        <f>AND(IF(metadata!E625="",FALSE,TRUE),exact(metadata!E625,"urban biome"))</f>
        <v>0</v>
      </c>
      <c r="Z625">
        <f>AND(IF(metadata!F625="",FALSE,TRUE),exact(metadata!F625,"animal-associated habitat"))</f>
        <v>0</v>
      </c>
      <c r="AA625">
        <f>AND(IF(metadata!G625="",FALSE,TRUE),exact(metadata!G625,"mouse"))</f>
        <v>0</v>
      </c>
      <c r="AB625">
        <f>AND(IF(metadata!H625="",FALSE,TRUE),exact(metadata!H625,"Mus musculus"))</f>
        <v>0</v>
      </c>
      <c r="AC625">
        <f>AND(IF(metadata!I625="",FALSE,TRUE),exact(metadata!I625,"10090"))</f>
        <v>0</v>
      </c>
      <c r="AD625">
        <f>OR(AND(IF(metadata!J625="",FALSE,TRUE),OR(exact(metadata!J625,"not applicable"),exact(metadata!J625,"missing: not collected"),exact(metadata!J625,"missing: not provided"),exact(metadata!J625,"missing: restricted access"))),AND(IF(metadata!J625="",FALSE,ISNUMBER(VALUE(metadata!J625))),metadata!J625&gt;0))</f>
        <v>0</v>
      </c>
      <c r="AE625">
        <f>AND(IF(metadata!K625="",FALSE,TRUE),exact(metadata!K625,"g"))</f>
        <v>0</v>
      </c>
    </row>
    <row r="626" spans="1:31">
      <c r="A626" s="5">
        <f>IF(B626=" "," ",HYPERLINK(CONCATENATE("#metadata!",ADDRESS(INDEX($Q$2:$Q$1001,MATCH(ROWS($O$2:O626),$O$2:$O$1001,0),0),1)),INDEX($T$2:$T$1001,MATCH(ROWS($O$2:O626),$O$2:$O$1001,0),0)))</f>
        <v>0</v>
      </c>
      <c r="B626" s="4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4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4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4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4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4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4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4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4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4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OR(AND(IF(metadata!C626="",FALSE,TRUE),OR(exact(metadata!C626,"not applicable"),exact(metadata!C626,"missing: not collected"),exact(metadata!C626,"missing: not provided"),exact(metadata!C626,"missing: restricted access"))),AND(IF(metadata!C626="",FALSE,ISNUMBER(VALUE(metadata!C626))),metadata!C626&gt;0))</f>
        <v>0</v>
      </c>
      <c r="X626">
        <f>AND(IF(metadata!D626="",FALSE,TRUE),exact(metadata!D626,"weeks"))</f>
        <v>0</v>
      </c>
      <c r="Y626">
        <f>AND(IF(metadata!E626="",FALSE,TRUE),exact(metadata!E626,"urban biome"))</f>
        <v>0</v>
      </c>
      <c r="Z626">
        <f>AND(IF(metadata!F626="",FALSE,TRUE),exact(metadata!F626,"animal-associated habitat"))</f>
        <v>0</v>
      </c>
      <c r="AA626">
        <f>AND(IF(metadata!G626="",FALSE,TRUE),exact(metadata!G626,"mouse"))</f>
        <v>0</v>
      </c>
      <c r="AB626">
        <f>AND(IF(metadata!H626="",FALSE,TRUE),exact(metadata!H626,"Mus musculus"))</f>
        <v>0</v>
      </c>
      <c r="AC626">
        <f>AND(IF(metadata!I626="",FALSE,TRUE),exact(metadata!I626,"10090"))</f>
        <v>0</v>
      </c>
      <c r="AD626">
        <f>OR(AND(IF(metadata!J626="",FALSE,TRUE),OR(exact(metadata!J626,"not applicable"),exact(metadata!J626,"missing: not collected"),exact(metadata!J626,"missing: not provided"),exact(metadata!J626,"missing: restricted access"))),AND(IF(metadata!J626="",FALSE,ISNUMBER(VALUE(metadata!J626))),metadata!J626&gt;0))</f>
        <v>0</v>
      </c>
      <c r="AE626">
        <f>AND(IF(metadata!K626="",FALSE,TRUE),exact(metadata!K626,"g"))</f>
        <v>0</v>
      </c>
    </row>
    <row r="627" spans="1:31">
      <c r="A627" s="5">
        <f>IF(B627=" "," ",HYPERLINK(CONCATENATE("#metadata!",ADDRESS(INDEX($Q$2:$Q$1001,MATCH(ROWS($O$2:O627),$O$2:$O$1001,0),0),1)),INDEX($T$2:$T$1001,MATCH(ROWS($O$2:O627),$O$2:$O$1001,0),0)))</f>
        <v>0</v>
      </c>
      <c r="B627" s="4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4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4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4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4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4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4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4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4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4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OR(AND(IF(metadata!C627="",FALSE,TRUE),OR(exact(metadata!C627,"not applicable"),exact(metadata!C627,"missing: not collected"),exact(metadata!C627,"missing: not provided"),exact(metadata!C627,"missing: restricted access"))),AND(IF(metadata!C627="",FALSE,ISNUMBER(VALUE(metadata!C627))),metadata!C627&gt;0))</f>
        <v>0</v>
      </c>
      <c r="X627">
        <f>AND(IF(metadata!D627="",FALSE,TRUE),exact(metadata!D627,"weeks"))</f>
        <v>0</v>
      </c>
      <c r="Y627">
        <f>AND(IF(metadata!E627="",FALSE,TRUE),exact(metadata!E627,"urban biome"))</f>
        <v>0</v>
      </c>
      <c r="Z627">
        <f>AND(IF(metadata!F627="",FALSE,TRUE),exact(metadata!F627,"animal-associated habitat"))</f>
        <v>0</v>
      </c>
      <c r="AA627">
        <f>AND(IF(metadata!G627="",FALSE,TRUE),exact(metadata!G627,"mouse"))</f>
        <v>0</v>
      </c>
      <c r="AB627">
        <f>AND(IF(metadata!H627="",FALSE,TRUE),exact(metadata!H627,"Mus musculus"))</f>
        <v>0</v>
      </c>
      <c r="AC627">
        <f>AND(IF(metadata!I627="",FALSE,TRUE),exact(metadata!I627,"10090"))</f>
        <v>0</v>
      </c>
      <c r="AD627">
        <f>OR(AND(IF(metadata!J627="",FALSE,TRUE),OR(exact(metadata!J627,"not applicable"),exact(metadata!J627,"missing: not collected"),exact(metadata!J627,"missing: not provided"),exact(metadata!J627,"missing: restricted access"))),AND(IF(metadata!J627="",FALSE,ISNUMBER(VALUE(metadata!J627))),metadata!J627&gt;0))</f>
        <v>0</v>
      </c>
      <c r="AE627">
        <f>AND(IF(metadata!K627="",FALSE,TRUE),exact(metadata!K627,"g"))</f>
        <v>0</v>
      </c>
    </row>
    <row r="628" spans="1:31">
      <c r="A628" s="5">
        <f>IF(B628=" "," ",HYPERLINK(CONCATENATE("#metadata!",ADDRESS(INDEX($Q$2:$Q$1001,MATCH(ROWS($O$2:O628),$O$2:$O$1001,0),0),1)),INDEX($T$2:$T$1001,MATCH(ROWS($O$2:O628),$O$2:$O$1001,0),0)))</f>
        <v>0</v>
      </c>
      <c r="B628" s="4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4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4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4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4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4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4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4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4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4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OR(AND(IF(metadata!C628="",FALSE,TRUE),OR(exact(metadata!C628,"not applicable"),exact(metadata!C628,"missing: not collected"),exact(metadata!C628,"missing: not provided"),exact(metadata!C628,"missing: restricted access"))),AND(IF(metadata!C628="",FALSE,ISNUMBER(VALUE(metadata!C628))),metadata!C628&gt;0))</f>
        <v>0</v>
      </c>
      <c r="X628">
        <f>AND(IF(metadata!D628="",FALSE,TRUE),exact(metadata!D628,"weeks"))</f>
        <v>0</v>
      </c>
      <c r="Y628">
        <f>AND(IF(metadata!E628="",FALSE,TRUE),exact(metadata!E628,"urban biome"))</f>
        <v>0</v>
      </c>
      <c r="Z628">
        <f>AND(IF(metadata!F628="",FALSE,TRUE),exact(metadata!F628,"animal-associated habitat"))</f>
        <v>0</v>
      </c>
      <c r="AA628">
        <f>AND(IF(metadata!G628="",FALSE,TRUE),exact(metadata!G628,"mouse"))</f>
        <v>0</v>
      </c>
      <c r="AB628">
        <f>AND(IF(metadata!H628="",FALSE,TRUE),exact(metadata!H628,"Mus musculus"))</f>
        <v>0</v>
      </c>
      <c r="AC628">
        <f>AND(IF(metadata!I628="",FALSE,TRUE),exact(metadata!I628,"10090"))</f>
        <v>0</v>
      </c>
      <c r="AD628">
        <f>OR(AND(IF(metadata!J628="",FALSE,TRUE),OR(exact(metadata!J628,"not applicable"),exact(metadata!J628,"missing: not collected"),exact(metadata!J628,"missing: not provided"),exact(metadata!J628,"missing: restricted access"))),AND(IF(metadata!J628="",FALSE,ISNUMBER(VALUE(metadata!J628))),metadata!J628&gt;0))</f>
        <v>0</v>
      </c>
      <c r="AE628">
        <f>AND(IF(metadata!K628="",FALSE,TRUE),exact(metadata!K628,"g"))</f>
        <v>0</v>
      </c>
    </row>
    <row r="629" spans="1:31">
      <c r="A629" s="5">
        <f>IF(B629=" "," ",HYPERLINK(CONCATENATE("#metadata!",ADDRESS(INDEX($Q$2:$Q$1001,MATCH(ROWS($O$2:O629),$O$2:$O$1001,0),0),1)),INDEX($T$2:$T$1001,MATCH(ROWS($O$2:O629),$O$2:$O$1001,0),0)))</f>
        <v>0</v>
      </c>
      <c r="B629" s="4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4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4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4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4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4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4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4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4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4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OR(AND(IF(metadata!C629="",FALSE,TRUE),OR(exact(metadata!C629,"not applicable"),exact(metadata!C629,"missing: not collected"),exact(metadata!C629,"missing: not provided"),exact(metadata!C629,"missing: restricted access"))),AND(IF(metadata!C629="",FALSE,ISNUMBER(VALUE(metadata!C629))),metadata!C629&gt;0))</f>
        <v>0</v>
      </c>
      <c r="X629">
        <f>AND(IF(metadata!D629="",FALSE,TRUE),exact(metadata!D629,"weeks"))</f>
        <v>0</v>
      </c>
      <c r="Y629">
        <f>AND(IF(metadata!E629="",FALSE,TRUE),exact(metadata!E629,"urban biome"))</f>
        <v>0</v>
      </c>
      <c r="Z629">
        <f>AND(IF(metadata!F629="",FALSE,TRUE),exact(metadata!F629,"animal-associated habitat"))</f>
        <v>0</v>
      </c>
      <c r="AA629">
        <f>AND(IF(metadata!G629="",FALSE,TRUE),exact(metadata!G629,"mouse"))</f>
        <v>0</v>
      </c>
      <c r="AB629">
        <f>AND(IF(metadata!H629="",FALSE,TRUE),exact(metadata!H629,"Mus musculus"))</f>
        <v>0</v>
      </c>
      <c r="AC629">
        <f>AND(IF(metadata!I629="",FALSE,TRUE),exact(metadata!I629,"10090"))</f>
        <v>0</v>
      </c>
      <c r="AD629">
        <f>OR(AND(IF(metadata!J629="",FALSE,TRUE),OR(exact(metadata!J629,"not applicable"),exact(metadata!J629,"missing: not collected"),exact(metadata!J629,"missing: not provided"),exact(metadata!J629,"missing: restricted access"))),AND(IF(metadata!J629="",FALSE,ISNUMBER(VALUE(metadata!J629))),metadata!J629&gt;0))</f>
        <v>0</v>
      </c>
      <c r="AE629">
        <f>AND(IF(metadata!K629="",FALSE,TRUE),exact(metadata!K629,"g"))</f>
        <v>0</v>
      </c>
    </row>
    <row r="630" spans="1:31">
      <c r="A630" s="5">
        <f>IF(B630=" "," ",HYPERLINK(CONCATENATE("#metadata!",ADDRESS(INDEX($Q$2:$Q$1001,MATCH(ROWS($O$2:O630),$O$2:$O$1001,0),0),1)),INDEX($T$2:$T$1001,MATCH(ROWS($O$2:O630),$O$2:$O$1001,0),0)))</f>
        <v>0</v>
      </c>
      <c r="B630" s="4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4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4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4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4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4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4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4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4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4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OR(AND(IF(metadata!C630="",FALSE,TRUE),OR(exact(metadata!C630,"not applicable"),exact(metadata!C630,"missing: not collected"),exact(metadata!C630,"missing: not provided"),exact(metadata!C630,"missing: restricted access"))),AND(IF(metadata!C630="",FALSE,ISNUMBER(VALUE(metadata!C630))),metadata!C630&gt;0))</f>
        <v>0</v>
      </c>
      <c r="X630">
        <f>AND(IF(metadata!D630="",FALSE,TRUE),exact(metadata!D630,"weeks"))</f>
        <v>0</v>
      </c>
      <c r="Y630">
        <f>AND(IF(metadata!E630="",FALSE,TRUE),exact(metadata!E630,"urban biome"))</f>
        <v>0</v>
      </c>
      <c r="Z630">
        <f>AND(IF(metadata!F630="",FALSE,TRUE),exact(metadata!F630,"animal-associated habitat"))</f>
        <v>0</v>
      </c>
      <c r="AA630">
        <f>AND(IF(metadata!G630="",FALSE,TRUE),exact(metadata!G630,"mouse"))</f>
        <v>0</v>
      </c>
      <c r="AB630">
        <f>AND(IF(metadata!H630="",FALSE,TRUE),exact(metadata!H630,"Mus musculus"))</f>
        <v>0</v>
      </c>
      <c r="AC630">
        <f>AND(IF(metadata!I630="",FALSE,TRUE),exact(metadata!I630,"10090"))</f>
        <v>0</v>
      </c>
      <c r="AD630">
        <f>OR(AND(IF(metadata!J630="",FALSE,TRUE),OR(exact(metadata!J630,"not applicable"),exact(metadata!J630,"missing: not collected"),exact(metadata!J630,"missing: not provided"),exact(metadata!J630,"missing: restricted access"))),AND(IF(metadata!J630="",FALSE,ISNUMBER(VALUE(metadata!J630))),metadata!J630&gt;0))</f>
        <v>0</v>
      </c>
      <c r="AE630">
        <f>AND(IF(metadata!K630="",FALSE,TRUE),exact(metadata!K630,"g"))</f>
        <v>0</v>
      </c>
    </row>
    <row r="631" spans="1:31">
      <c r="A631" s="5">
        <f>IF(B631=" "," ",HYPERLINK(CONCATENATE("#metadata!",ADDRESS(INDEX($Q$2:$Q$1001,MATCH(ROWS($O$2:O631),$O$2:$O$1001,0),0),1)),INDEX($T$2:$T$1001,MATCH(ROWS($O$2:O631),$O$2:$O$1001,0),0)))</f>
        <v>0</v>
      </c>
      <c r="B631" s="4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4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4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4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4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4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4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4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4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4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OR(AND(IF(metadata!C631="",FALSE,TRUE),OR(exact(metadata!C631,"not applicable"),exact(metadata!C631,"missing: not collected"),exact(metadata!C631,"missing: not provided"),exact(metadata!C631,"missing: restricted access"))),AND(IF(metadata!C631="",FALSE,ISNUMBER(VALUE(metadata!C631))),metadata!C631&gt;0))</f>
        <v>0</v>
      </c>
      <c r="X631">
        <f>AND(IF(metadata!D631="",FALSE,TRUE),exact(metadata!D631,"weeks"))</f>
        <v>0</v>
      </c>
      <c r="Y631">
        <f>AND(IF(metadata!E631="",FALSE,TRUE),exact(metadata!E631,"urban biome"))</f>
        <v>0</v>
      </c>
      <c r="Z631">
        <f>AND(IF(metadata!F631="",FALSE,TRUE),exact(metadata!F631,"animal-associated habitat"))</f>
        <v>0</v>
      </c>
      <c r="AA631">
        <f>AND(IF(metadata!G631="",FALSE,TRUE),exact(metadata!G631,"mouse"))</f>
        <v>0</v>
      </c>
      <c r="AB631">
        <f>AND(IF(metadata!H631="",FALSE,TRUE),exact(metadata!H631,"Mus musculus"))</f>
        <v>0</v>
      </c>
      <c r="AC631">
        <f>AND(IF(metadata!I631="",FALSE,TRUE),exact(metadata!I631,"10090"))</f>
        <v>0</v>
      </c>
      <c r="AD631">
        <f>OR(AND(IF(metadata!J631="",FALSE,TRUE),OR(exact(metadata!J631,"not applicable"),exact(metadata!J631,"missing: not collected"),exact(metadata!J631,"missing: not provided"),exact(metadata!J631,"missing: restricted access"))),AND(IF(metadata!J631="",FALSE,ISNUMBER(VALUE(metadata!J631))),metadata!J631&gt;0))</f>
        <v>0</v>
      </c>
      <c r="AE631">
        <f>AND(IF(metadata!K631="",FALSE,TRUE),exact(metadata!K631,"g"))</f>
        <v>0</v>
      </c>
    </row>
    <row r="632" spans="1:31">
      <c r="A632" s="5">
        <f>IF(B632=" "," ",HYPERLINK(CONCATENATE("#metadata!",ADDRESS(INDEX($Q$2:$Q$1001,MATCH(ROWS($O$2:O632),$O$2:$O$1001,0),0),1)),INDEX($T$2:$T$1001,MATCH(ROWS($O$2:O632),$O$2:$O$1001,0),0)))</f>
        <v>0</v>
      </c>
      <c r="B632" s="4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4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4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4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4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4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4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4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4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4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OR(AND(IF(metadata!C632="",FALSE,TRUE),OR(exact(metadata!C632,"not applicable"),exact(metadata!C632,"missing: not collected"),exact(metadata!C632,"missing: not provided"),exact(metadata!C632,"missing: restricted access"))),AND(IF(metadata!C632="",FALSE,ISNUMBER(VALUE(metadata!C632))),metadata!C632&gt;0))</f>
        <v>0</v>
      </c>
      <c r="X632">
        <f>AND(IF(metadata!D632="",FALSE,TRUE),exact(metadata!D632,"weeks"))</f>
        <v>0</v>
      </c>
      <c r="Y632">
        <f>AND(IF(metadata!E632="",FALSE,TRUE),exact(metadata!E632,"urban biome"))</f>
        <v>0</v>
      </c>
      <c r="Z632">
        <f>AND(IF(metadata!F632="",FALSE,TRUE),exact(metadata!F632,"animal-associated habitat"))</f>
        <v>0</v>
      </c>
      <c r="AA632">
        <f>AND(IF(metadata!G632="",FALSE,TRUE),exact(metadata!G632,"mouse"))</f>
        <v>0</v>
      </c>
      <c r="AB632">
        <f>AND(IF(metadata!H632="",FALSE,TRUE),exact(metadata!H632,"Mus musculus"))</f>
        <v>0</v>
      </c>
      <c r="AC632">
        <f>AND(IF(metadata!I632="",FALSE,TRUE),exact(metadata!I632,"10090"))</f>
        <v>0</v>
      </c>
      <c r="AD632">
        <f>OR(AND(IF(metadata!J632="",FALSE,TRUE),OR(exact(metadata!J632,"not applicable"),exact(metadata!J632,"missing: not collected"),exact(metadata!J632,"missing: not provided"),exact(metadata!J632,"missing: restricted access"))),AND(IF(metadata!J632="",FALSE,ISNUMBER(VALUE(metadata!J632))),metadata!J632&gt;0))</f>
        <v>0</v>
      </c>
      <c r="AE632">
        <f>AND(IF(metadata!K632="",FALSE,TRUE),exact(metadata!K632,"g"))</f>
        <v>0</v>
      </c>
    </row>
    <row r="633" spans="1:31">
      <c r="A633" s="5">
        <f>IF(B633=" "," ",HYPERLINK(CONCATENATE("#metadata!",ADDRESS(INDEX($Q$2:$Q$1001,MATCH(ROWS($O$2:O633),$O$2:$O$1001,0),0),1)),INDEX($T$2:$T$1001,MATCH(ROWS($O$2:O633),$O$2:$O$1001,0),0)))</f>
        <v>0</v>
      </c>
      <c r="B633" s="4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4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4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4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4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4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4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4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4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4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OR(AND(IF(metadata!C633="",FALSE,TRUE),OR(exact(metadata!C633,"not applicable"),exact(metadata!C633,"missing: not collected"),exact(metadata!C633,"missing: not provided"),exact(metadata!C633,"missing: restricted access"))),AND(IF(metadata!C633="",FALSE,ISNUMBER(VALUE(metadata!C633))),metadata!C633&gt;0))</f>
        <v>0</v>
      </c>
      <c r="X633">
        <f>AND(IF(metadata!D633="",FALSE,TRUE),exact(metadata!D633,"weeks"))</f>
        <v>0</v>
      </c>
      <c r="Y633">
        <f>AND(IF(metadata!E633="",FALSE,TRUE),exact(metadata!E633,"urban biome"))</f>
        <v>0</v>
      </c>
      <c r="Z633">
        <f>AND(IF(metadata!F633="",FALSE,TRUE),exact(metadata!F633,"animal-associated habitat"))</f>
        <v>0</v>
      </c>
      <c r="AA633">
        <f>AND(IF(metadata!G633="",FALSE,TRUE),exact(metadata!G633,"mouse"))</f>
        <v>0</v>
      </c>
      <c r="AB633">
        <f>AND(IF(metadata!H633="",FALSE,TRUE),exact(metadata!H633,"Mus musculus"))</f>
        <v>0</v>
      </c>
      <c r="AC633">
        <f>AND(IF(metadata!I633="",FALSE,TRUE),exact(metadata!I633,"10090"))</f>
        <v>0</v>
      </c>
      <c r="AD633">
        <f>OR(AND(IF(metadata!J633="",FALSE,TRUE),OR(exact(metadata!J633,"not applicable"),exact(metadata!J633,"missing: not collected"),exact(metadata!J633,"missing: not provided"),exact(metadata!J633,"missing: restricted access"))),AND(IF(metadata!J633="",FALSE,ISNUMBER(VALUE(metadata!J633))),metadata!J633&gt;0))</f>
        <v>0</v>
      </c>
      <c r="AE633">
        <f>AND(IF(metadata!K633="",FALSE,TRUE),exact(metadata!K633,"g"))</f>
        <v>0</v>
      </c>
    </row>
    <row r="634" spans="1:31">
      <c r="A634" s="5">
        <f>IF(B634=" "," ",HYPERLINK(CONCATENATE("#metadata!",ADDRESS(INDEX($Q$2:$Q$1001,MATCH(ROWS($O$2:O634),$O$2:$O$1001,0),0),1)),INDEX($T$2:$T$1001,MATCH(ROWS($O$2:O634),$O$2:$O$1001,0),0)))</f>
        <v>0</v>
      </c>
      <c r="B634" s="4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4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4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4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4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4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4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4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4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4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OR(AND(IF(metadata!C634="",FALSE,TRUE),OR(exact(metadata!C634,"not applicable"),exact(metadata!C634,"missing: not collected"),exact(metadata!C634,"missing: not provided"),exact(metadata!C634,"missing: restricted access"))),AND(IF(metadata!C634="",FALSE,ISNUMBER(VALUE(metadata!C634))),metadata!C634&gt;0))</f>
        <v>0</v>
      </c>
      <c r="X634">
        <f>AND(IF(metadata!D634="",FALSE,TRUE),exact(metadata!D634,"weeks"))</f>
        <v>0</v>
      </c>
      <c r="Y634">
        <f>AND(IF(metadata!E634="",FALSE,TRUE),exact(metadata!E634,"urban biome"))</f>
        <v>0</v>
      </c>
      <c r="Z634">
        <f>AND(IF(metadata!F634="",FALSE,TRUE),exact(metadata!F634,"animal-associated habitat"))</f>
        <v>0</v>
      </c>
      <c r="AA634">
        <f>AND(IF(metadata!G634="",FALSE,TRUE),exact(metadata!G634,"mouse"))</f>
        <v>0</v>
      </c>
      <c r="AB634">
        <f>AND(IF(metadata!H634="",FALSE,TRUE),exact(metadata!H634,"Mus musculus"))</f>
        <v>0</v>
      </c>
      <c r="AC634">
        <f>AND(IF(metadata!I634="",FALSE,TRUE),exact(metadata!I634,"10090"))</f>
        <v>0</v>
      </c>
      <c r="AD634">
        <f>OR(AND(IF(metadata!J634="",FALSE,TRUE),OR(exact(metadata!J634,"not applicable"),exact(metadata!J634,"missing: not collected"),exact(metadata!J634,"missing: not provided"),exact(metadata!J634,"missing: restricted access"))),AND(IF(metadata!J634="",FALSE,ISNUMBER(VALUE(metadata!J634))),metadata!J634&gt;0))</f>
        <v>0</v>
      </c>
      <c r="AE634">
        <f>AND(IF(metadata!K634="",FALSE,TRUE),exact(metadata!K634,"g"))</f>
        <v>0</v>
      </c>
    </row>
    <row r="635" spans="1:31">
      <c r="A635" s="5">
        <f>IF(B635=" "," ",HYPERLINK(CONCATENATE("#metadata!",ADDRESS(INDEX($Q$2:$Q$1001,MATCH(ROWS($O$2:O635),$O$2:$O$1001,0),0),1)),INDEX($T$2:$T$1001,MATCH(ROWS($O$2:O635),$O$2:$O$1001,0),0)))</f>
        <v>0</v>
      </c>
      <c r="B635" s="4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4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4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4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4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4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4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4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4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4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OR(AND(IF(metadata!C635="",FALSE,TRUE),OR(exact(metadata!C635,"not applicable"),exact(metadata!C635,"missing: not collected"),exact(metadata!C635,"missing: not provided"),exact(metadata!C635,"missing: restricted access"))),AND(IF(metadata!C635="",FALSE,ISNUMBER(VALUE(metadata!C635))),metadata!C635&gt;0))</f>
        <v>0</v>
      </c>
      <c r="X635">
        <f>AND(IF(metadata!D635="",FALSE,TRUE),exact(metadata!D635,"weeks"))</f>
        <v>0</v>
      </c>
      <c r="Y635">
        <f>AND(IF(metadata!E635="",FALSE,TRUE),exact(metadata!E635,"urban biome"))</f>
        <v>0</v>
      </c>
      <c r="Z635">
        <f>AND(IF(metadata!F635="",FALSE,TRUE),exact(metadata!F635,"animal-associated habitat"))</f>
        <v>0</v>
      </c>
      <c r="AA635">
        <f>AND(IF(metadata!G635="",FALSE,TRUE),exact(metadata!G635,"mouse"))</f>
        <v>0</v>
      </c>
      <c r="AB635">
        <f>AND(IF(metadata!H635="",FALSE,TRUE),exact(metadata!H635,"Mus musculus"))</f>
        <v>0</v>
      </c>
      <c r="AC635">
        <f>AND(IF(metadata!I635="",FALSE,TRUE),exact(metadata!I635,"10090"))</f>
        <v>0</v>
      </c>
      <c r="AD635">
        <f>OR(AND(IF(metadata!J635="",FALSE,TRUE),OR(exact(metadata!J635,"not applicable"),exact(metadata!J635,"missing: not collected"),exact(metadata!J635,"missing: not provided"),exact(metadata!J635,"missing: restricted access"))),AND(IF(metadata!J635="",FALSE,ISNUMBER(VALUE(metadata!J635))),metadata!J635&gt;0))</f>
        <v>0</v>
      </c>
      <c r="AE635">
        <f>AND(IF(metadata!K635="",FALSE,TRUE),exact(metadata!K635,"g"))</f>
        <v>0</v>
      </c>
    </row>
    <row r="636" spans="1:31">
      <c r="A636" s="5">
        <f>IF(B636=" "," ",HYPERLINK(CONCATENATE("#metadata!",ADDRESS(INDEX($Q$2:$Q$1001,MATCH(ROWS($O$2:O636),$O$2:$O$1001,0),0),1)),INDEX($T$2:$T$1001,MATCH(ROWS($O$2:O636),$O$2:$O$1001,0),0)))</f>
        <v>0</v>
      </c>
      <c r="B636" s="4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4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4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4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4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4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4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4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4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4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OR(AND(IF(metadata!C636="",FALSE,TRUE),OR(exact(metadata!C636,"not applicable"),exact(metadata!C636,"missing: not collected"),exact(metadata!C636,"missing: not provided"),exact(metadata!C636,"missing: restricted access"))),AND(IF(metadata!C636="",FALSE,ISNUMBER(VALUE(metadata!C636))),metadata!C636&gt;0))</f>
        <v>0</v>
      </c>
      <c r="X636">
        <f>AND(IF(metadata!D636="",FALSE,TRUE),exact(metadata!D636,"weeks"))</f>
        <v>0</v>
      </c>
      <c r="Y636">
        <f>AND(IF(metadata!E636="",FALSE,TRUE),exact(metadata!E636,"urban biome"))</f>
        <v>0</v>
      </c>
      <c r="Z636">
        <f>AND(IF(metadata!F636="",FALSE,TRUE),exact(metadata!F636,"animal-associated habitat"))</f>
        <v>0</v>
      </c>
      <c r="AA636">
        <f>AND(IF(metadata!G636="",FALSE,TRUE),exact(metadata!G636,"mouse"))</f>
        <v>0</v>
      </c>
      <c r="AB636">
        <f>AND(IF(metadata!H636="",FALSE,TRUE),exact(metadata!H636,"Mus musculus"))</f>
        <v>0</v>
      </c>
      <c r="AC636">
        <f>AND(IF(metadata!I636="",FALSE,TRUE),exact(metadata!I636,"10090"))</f>
        <v>0</v>
      </c>
      <c r="AD636">
        <f>OR(AND(IF(metadata!J636="",FALSE,TRUE),OR(exact(metadata!J636,"not applicable"),exact(metadata!J636,"missing: not collected"),exact(metadata!J636,"missing: not provided"),exact(metadata!J636,"missing: restricted access"))),AND(IF(metadata!J636="",FALSE,ISNUMBER(VALUE(metadata!J636))),metadata!J636&gt;0))</f>
        <v>0</v>
      </c>
      <c r="AE636">
        <f>AND(IF(metadata!K636="",FALSE,TRUE),exact(metadata!K636,"g"))</f>
        <v>0</v>
      </c>
    </row>
    <row r="637" spans="1:31">
      <c r="A637" s="5">
        <f>IF(B637=" "," ",HYPERLINK(CONCATENATE("#metadata!",ADDRESS(INDEX($Q$2:$Q$1001,MATCH(ROWS($O$2:O637),$O$2:$O$1001,0),0),1)),INDEX($T$2:$T$1001,MATCH(ROWS($O$2:O637),$O$2:$O$1001,0),0)))</f>
        <v>0</v>
      </c>
      <c r="B637" s="4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4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4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4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4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4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4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4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4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4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OR(AND(IF(metadata!C637="",FALSE,TRUE),OR(exact(metadata!C637,"not applicable"),exact(metadata!C637,"missing: not collected"),exact(metadata!C637,"missing: not provided"),exact(metadata!C637,"missing: restricted access"))),AND(IF(metadata!C637="",FALSE,ISNUMBER(VALUE(metadata!C637))),metadata!C637&gt;0))</f>
        <v>0</v>
      </c>
      <c r="X637">
        <f>AND(IF(metadata!D637="",FALSE,TRUE),exact(metadata!D637,"weeks"))</f>
        <v>0</v>
      </c>
      <c r="Y637">
        <f>AND(IF(metadata!E637="",FALSE,TRUE),exact(metadata!E637,"urban biome"))</f>
        <v>0</v>
      </c>
      <c r="Z637">
        <f>AND(IF(metadata!F637="",FALSE,TRUE),exact(metadata!F637,"animal-associated habitat"))</f>
        <v>0</v>
      </c>
      <c r="AA637">
        <f>AND(IF(metadata!G637="",FALSE,TRUE),exact(metadata!G637,"mouse"))</f>
        <v>0</v>
      </c>
      <c r="AB637">
        <f>AND(IF(metadata!H637="",FALSE,TRUE),exact(metadata!H637,"Mus musculus"))</f>
        <v>0</v>
      </c>
      <c r="AC637">
        <f>AND(IF(metadata!I637="",FALSE,TRUE),exact(metadata!I637,"10090"))</f>
        <v>0</v>
      </c>
      <c r="AD637">
        <f>OR(AND(IF(metadata!J637="",FALSE,TRUE),OR(exact(metadata!J637,"not applicable"),exact(metadata!J637,"missing: not collected"),exact(metadata!J637,"missing: not provided"),exact(metadata!J637,"missing: restricted access"))),AND(IF(metadata!J637="",FALSE,ISNUMBER(VALUE(metadata!J637))),metadata!J637&gt;0))</f>
        <v>0</v>
      </c>
      <c r="AE637">
        <f>AND(IF(metadata!K637="",FALSE,TRUE),exact(metadata!K637,"g"))</f>
        <v>0</v>
      </c>
    </row>
    <row r="638" spans="1:31">
      <c r="A638" s="5">
        <f>IF(B638=" "," ",HYPERLINK(CONCATENATE("#metadata!",ADDRESS(INDEX($Q$2:$Q$1001,MATCH(ROWS($O$2:O638),$O$2:$O$1001,0),0),1)),INDEX($T$2:$T$1001,MATCH(ROWS($O$2:O638),$O$2:$O$1001,0),0)))</f>
        <v>0</v>
      </c>
      <c r="B638" s="4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4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4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4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4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4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4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4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4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4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OR(AND(IF(metadata!C638="",FALSE,TRUE),OR(exact(metadata!C638,"not applicable"),exact(metadata!C638,"missing: not collected"),exact(metadata!C638,"missing: not provided"),exact(metadata!C638,"missing: restricted access"))),AND(IF(metadata!C638="",FALSE,ISNUMBER(VALUE(metadata!C638))),metadata!C638&gt;0))</f>
        <v>0</v>
      </c>
      <c r="X638">
        <f>AND(IF(metadata!D638="",FALSE,TRUE),exact(metadata!D638,"weeks"))</f>
        <v>0</v>
      </c>
      <c r="Y638">
        <f>AND(IF(metadata!E638="",FALSE,TRUE),exact(metadata!E638,"urban biome"))</f>
        <v>0</v>
      </c>
      <c r="Z638">
        <f>AND(IF(metadata!F638="",FALSE,TRUE),exact(metadata!F638,"animal-associated habitat"))</f>
        <v>0</v>
      </c>
      <c r="AA638">
        <f>AND(IF(metadata!G638="",FALSE,TRUE),exact(metadata!G638,"mouse"))</f>
        <v>0</v>
      </c>
      <c r="AB638">
        <f>AND(IF(metadata!H638="",FALSE,TRUE),exact(metadata!H638,"Mus musculus"))</f>
        <v>0</v>
      </c>
      <c r="AC638">
        <f>AND(IF(metadata!I638="",FALSE,TRUE),exact(metadata!I638,"10090"))</f>
        <v>0</v>
      </c>
      <c r="AD638">
        <f>OR(AND(IF(metadata!J638="",FALSE,TRUE),OR(exact(metadata!J638,"not applicable"),exact(metadata!J638,"missing: not collected"),exact(metadata!J638,"missing: not provided"),exact(metadata!J638,"missing: restricted access"))),AND(IF(metadata!J638="",FALSE,ISNUMBER(VALUE(metadata!J638))),metadata!J638&gt;0))</f>
        <v>0</v>
      </c>
      <c r="AE638">
        <f>AND(IF(metadata!K638="",FALSE,TRUE),exact(metadata!K638,"g"))</f>
        <v>0</v>
      </c>
    </row>
    <row r="639" spans="1:31">
      <c r="A639" s="5">
        <f>IF(B639=" "," ",HYPERLINK(CONCATENATE("#metadata!",ADDRESS(INDEX($Q$2:$Q$1001,MATCH(ROWS($O$2:O639),$O$2:$O$1001,0),0),1)),INDEX($T$2:$T$1001,MATCH(ROWS($O$2:O639),$O$2:$O$1001,0),0)))</f>
        <v>0</v>
      </c>
      <c r="B639" s="4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4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4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4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4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4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4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4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4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4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OR(AND(IF(metadata!C639="",FALSE,TRUE),OR(exact(metadata!C639,"not applicable"),exact(metadata!C639,"missing: not collected"),exact(metadata!C639,"missing: not provided"),exact(metadata!C639,"missing: restricted access"))),AND(IF(metadata!C639="",FALSE,ISNUMBER(VALUE(metadata!C639))),metadata!C639&gt;0))</f>
        <v>0</v>
      </c>
      <c r="X639">
        <f>AND(IF(metadata!D639="",FALSE,TRUE),exact(metadata!D639,"weeks"))</f>
        <v>0</v>
      </c>
      <c r="Y639">
        <f>AND(IF(metadata!E639="",FALSE,TRUE),exact(metadata!E639,"urban biome"))</f>
        <v>0</v>
      </c>
      <c r="Z639">
        <f>AND(IF(metadata!F639="",FALSE,TRUE),exact(metadata!F639,"animal-associated habitat"))</f>
        <v>0</v>
      </c>
      <c r="AA639">
        <f>AND(IF(metadata!G639="",FALSE,TRUE),exact(metadata!G639,"mouse"))</f>
        <v>0</v>
      </c>
      <c r="AB639">
        <f>AND(IF(metadata!H639="",FALSE,TRUE),exact(metadata!H639,"Mus musculus"))</f>
        <v>0</v>
      </c>
      <c r="AC639">
        <f>AND(IF(metadata!I639="",FALSE,TRUE),exact(metadata!I639,"10090"))</f>
        <v>0</v>
      </c>
      <c r="AD639">
        <f>OR(AND(IF(metadata!J639="",FALSE,TRUE),OR(exact(metadata!J639,"not applicable"),exact(metadata!J639,"missing: not collected"),exact(metadata!J639,"missing: not provided"),exact(metadata!J639,"missing: restricted access"))),AND(IF(metadata!J639="",FALSE,ISNUMBER(VALUE(metadata!J639))),metadata!J639&gt;0))</f>
        <v>0</v>
      </c>
      <c r="AE639">
        <f>AND(IF(metadata!K639="",FALSE,TRUE),exact(metadata!K639,"g"))</f>
        <v>0</v>
      </c>
    </row>
    <row r="640" spans="1:31">
      <c r="A640" s="5">
        <f>IF(B640=" "," ",HYPERLINK(CONCATENATE("#metadata!",ADDRESS(INDEX($Q$2:$Q$1001,MATCH(ROWS($O$2:O640),$O$2:$O$1001,0),0),1)),INDEX($T$2:$T$1001,MATCH(ROWS($O$2:O640),$O$2:$O$1001,0),0)))</f>
        <v>0</v>
      </c>
      <c r="B640" s="4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4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4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4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4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4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4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4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4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4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OR(AND(IF(metadata!C640="",FALSE,TRUE),OR(exact(metadata!C640,"not applicable"),exact(metadata!C640,"missing: not collected"),exact(metadata!C640,"missing: not provided"),exact(metadata!C640,"missing: restricted access"))),AND(IF(metadata!C640="",FALSE,ISNUMBER(VALUE(metadata!C640))),metadata!C640&gt;0))</f>
        <v>0</v>
      </c>
      <c r="X640">
        <f>AND(IF(metadata!D640="",FALSE,TRUE),exact(metadata!D640,"weeks"))</f>
        <v>0</v>
      </c>
      <c r="Y640">
        <f>AND(IF(metadata!E640="",FALSE,TRUE),exact(metadata!E640,"urban biome"))</f>
        <v>0</v>
      </c>
      <c r="Z640">
        <f>AND(IF(metadata!F640="",FALSE,TRUE),exact(metadata!F640,"animal-associated habitat"))</f>
        <v>0</v>
      </c>
      <c r="AA640">
        <f>AND(IF(metadata!G640="",FALSE,TRUE),exact(metadata!G640,"mouse"))</f>
        <v>0</v>
      </c>
      <c r="AB640">
        <f>AND(IF(metadata!H640="",FALSE,TRUE),exact(metadata!H640,"Mus musculus"))</f>
        <v>0</v>
      </c>
      <c r="AC640">
        <f>AND(IF(metadata!I640="",FALSE,TRUE),exact(metadata!I640,"10090"))</f>
        <v>0</v>
      </c>
      <c r="AD640">
        <f>OR(AND(IF(metadata!J640="",FALSE,TRUE),OR(exact(metadata!J640,"not applicable"),exact(metadata!J640,"missing: not collected"),exact(metadata!J640,"missing: not provided"),exact(metadata!J640,"missing: restricted access"))),AND(IF(metadata!J640="",FALSE,ISNUMBER(VALUE(metadata!J640))),metadata!J640&gt;0))</f>
        <v>0</v>
      </c>
      <c r="AE640">
        <f>AND(IF(metadata!K640="",FALSE,TRUE),exact(metadata!K640,"g"))</f>
        <v>0</v>
      </c>
    </row>
    <row r="641" spans="1:31">
      <c r="A641" s="5">
        <f>IF(B641=" "," ",HYPERLINK(CONCATENATE("#metadata!",ADDRESS(INDEX($Q$2:$Q$1001,MATCH(ROWS($O$2:O641),$O$2:$O$1001,0),0),1)),INDEX($T$2:$T$1001,MATCH(ROWS($O$2:O641),$O$2:$O$1001,0),0)))</f>
        <v>0</v>
      </c>
      <c r="B641" s="4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4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4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4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4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4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4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4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4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4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OR(AND(IF(metadata!C641="",FALSE,TRUE),OR(exact(metadata!C641,"not applicable"),exact(metadata!C641,"missing: not collected"),exact(metadata!C641,"missing: not provided"),exact(metadata!C641,"missing: restricted access"))),AND(IF(metadata!C641="",FALSE,ISNUMBER(VALUE(metadata!C641))),metadata!C641&gt;0))</f>
        <v>0</v>
      </c>
      <c r="X641">
        <f>AND(IF(metadata!D641="",FALSE,TRUE),exact(metadata!D641,"weeks"))</f>
        <v>0</v>
      </c>
      <c r="Y641">
        <f>AND(IF(metadata!E641="",FALSE,TRUE),exact(metadata!E641,"urban biome"))</f>
        <v>0</v>
      </c>
      <c r="Z641">
        <f>AND(IF(metadata!F641="",FALSE,TRUE),exact(metadata!F641,"animal-associated habitat"))</f>
        <v>0</v>
      </c>
      <c r="AA641">
        <f>AND(IF(metadata!G641="",FALSE,TRUE),exact(metadata!G641,"mouse"))</f>
        <v>0</v>
      </c>
      <c r="AB641">
        <f>AND(IF(metadata!H641="",FALSE,TRUE),exact(metadata!H641,"Mus musculus"))</f>
        <v>0</v>
      </c>
      <c r="AC641">
        <f>AND(IF(metadata!I641="",FALSE,TRUE),exact(metadata!I641,"10090"))</f>
        <v>0</v>
      </c>
      <c r="AD641">
        <f>OR(AND(IF(metadata!J641="",FALSE,TRUE),OR(exact(metadata!J641,"not applicable"),exact(metadata!J641,"missing: not collected"),exact(metadata!J641,"missing: not provided"),exact(metadata!J641,"missing: restricted access"))),AND(IF(metadata!J641="",FALSE,ISNUMBER(VALUE(metadata!J641))),metadata!J641&gt;0))</f>
        <v>0</v>
      </c>
      <c r="AE641">
        <f>AND(IF(metadata!K641="",FALSE,TRUE),exact(metadata!K641,"g"))</f>
        <v>0</v>
      </c>
    </row>
    <row r="642" spans="1:31">
      <c r="A642" s="5">
        <f>IF(B642=" "," ",HYPERLINK(CONCATENATE("#metadata!",ADDRESS(INDEX($Q$2:$Q$1001,MATCH(ROWS($O$2:O642),$O$2:$O$1001,0),0),1)),INDEX($T$2:$T$1001,MATCH(ROWS($O$2:O642),$O$2:$O$1001,0),0)))</f>
        <v>0</v>
      </c>
      <c r="B642" s="4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4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4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4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4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4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4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4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4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4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OR(AND(IF(metadata!C642="",FALSE,TRUE),OR(exact(metadata!C642,"not applicable"),exact(metadata!C642,"missing: not collected"),exact(metadata!C642,"missing: not provided"),exact(metadata!C642,"missing: restricted access"))),AND(IF(metadata!C642="",FALSE,ISNUMBER(VALUE(metadata!C642))),metadata!C642&gt;0))</f>
        <v>0</v>
      </c>
      <c r="X642">
        <f>AND(IF(metadata!D642="",FALSE,TRUE),exact(metadata!D642,"weeks"))</f>
        <v>0</v>
      </c>
      <c r="Y642">
        <f>AND(IF(metadata!E642="",FALSE,TRUE),exact(metadata!E642,"urban biome"))</f>
        <v>0</v>
      </c>
      <c r="Z642">
        <f>AND(IF(metadata!F642="",FALSE,TRUE),exact(metadata!F642,"animal-associated habitat"))</f>
        <v>0</v>
      </c>
      <c r="AA642">
        <f>AND(IF(metadata!G642="",FALSE,TRUE),exact(metadata!G642,"mouse"))</f>
        <v>0</v>
      </c>
      <c r="AB642">
        <f>AND(IF(metadata!H642="",FALSE,TRUE),exact(metadata!H642,"Mus musculus"))</f>
        <v>0</v>
      </c>
      <c r="AC642">
        <f>AND(IF(metadata!I642="",FALSE,TRUE),exact(metadata!I642,"10090"))</f>
        <v>0</v>
      </c>
      <c r="AD642">
        <f>OR(AND(IF(metadata!J642="",FALSE,TRUE),OR(exact(metadata!J642,"not applicable"),exact(metadata!J642,"missing: not collected"),exact(metadata!J642,"missing: not provided"),exact(metadata!J642,"missing: restricted access"))),AND(IF(metadata!J642="",FALSE,ISNUMBER(VALUE(metadata!J642))),metadata!J642&gt;0))</f>
        <v>0</v>
      </c>
      <c r="AE642">
        <f>AND(IF(metadata!K642="",FALSE,TRUE),exact(metadata!K642,"g"))</f>
        <v>0</v>
      </c>
    </row>
    <row r="643" spans="1:31">
      <c r="A643" s="5">
        <f>IF(B643=" "," ",HYPERLINK(CONCATENATE("#metadata!",ADDRESS(INDEX($Q$2:$Q$1001,MATCH(ROWS($O$2:O643),$O$2:$O$1001,0),0),1)),INDEX($T$2:$T$1001,MATCH(ROWS($O$2:O643),$O$2:$O$1001,0),0)))</f>
        <v>0</v>
      </c>
      <c r="B643" s="4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4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4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4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4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4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4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4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4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4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OR(AND(IF(metadata!C643="",FALSE,TRUE),OR(exact(metadata!C643,"not applicable"),exact(metadata!C643,"missing: not collected"),exact(metadata!C643,"missing: not provided"),exact(metadata!C643,"missing: restricted access"))),AND(IF(metadata!C643="",FALSE,ISNUMBER(VALUE(metadata!C643))),metadata!C643&gt;0))</f>
        <v>0</v>
      </c>
      <c r="X643">
        <f>AND(IF(metadata!D643="",FALSE,TRUE),exact(metadata!D643,"weeks"))</f>
        <v>0</v>
      </c>
      <c r="Y643">
        <f>AND(IF(metadata!E643="",FALSE,TRUE),exact(metadata!E643,"urban biome"))</f>
        <v>0</v>
      </c>
      <c r="Z643">
        <f>AND(IF(metadata!F643="",FALSE,TRUE),exact(metadata!F643,"animal-associated habitat"))</f>
        <v>0</v>
      </c>
      <c r="AA643">
        <f>AND(IF(metadata!G643="",FALSE,TRUE),exact(metadata!G643,"mouse"))</f>
        <v>0</v>
      </c>
      <c r="AB643">
        <f>AND(IF(metadata!H643="",FALSE,TRUE),exact(metadata!H643,"Mus musculus"))</f>
        <v>0</v>
      </c>
      <c r="AC643">
        <f>AND(IF(metadata!I643="",FALSE,TRUE),exact(metadata!I643,"10090"))</f>
        <v>0</v>
      </c>
      <c r="AD643">
        <f>OR(AND(IF(metadata!J643="",FALSE,TRUE),OR(exact(metadata!J643,"not applicable"),exact(metadata!J643,"missing: not collected"),exact(metadata!J643,"missing: not provided"),exact(metadata!J643,"missing: restricted access"))),AND(IF(metadata!J643="",FALSE,ISNUMBER(VALUE(metadata!J643))),metadata!J643&gt;0))</f>
        <v>0</v>
      </c>
      <c r="AE643">
        <f>AND(IF(metadata!K643="",FALSE,TRUE),exact(metadata!K643,"g"))</f>
        <v>0</v>
      </c>
    </row>
    <row r="644" spans="1:31">
      <c r="A644" s="5">
        <f>IF(B644=" "," ",HYPERLINK(CONCATENATE("#metadata!",ADDRESS(INDEX($Q$2:$Q$1001,MATCH(ROWS($O$2:O644),$O$2:$O$1001,0),0),1)),INDEX($T$2:$T$1001,MATCH(ROWS($O$2:O644),$O$2:$O$1001,0),0)))</f>
        <v>0</v>
      </c>
      <c r="B644" s="4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4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4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4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4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4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4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4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4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4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OR(AND(IF(metadata!C644="",FALSE,TRUE),OR(exact(metadata!C644,"not applicable"),exact(metadata!C644,"missing: not collected"),exact(metadata!C644,"missing: not provided"),exact(metadata!C644,"missing: restricted access"))),AND(IF(metadata!C644="",FALSE,ISNUMBER(VALUE(metadata!C644))),metadata!C644&gt;0))</f>
        <v>0</v>
      </c>
      <c r="X644">
        <f>AND(IF(metadata!D644="",FALSE,TRUE),exact(metadata!D644,"weeks"))</f>
        <v>0</v>
      </c>
      <c r="Y644">
        <f>AND(IF(metadata!E644="",FALSE,TRUE),exact(metadata!E644,"urban biome"))</f>
        <v>0</v>
      </c>
      <c r="Z644">
        <f>AND(IF(metadata!F644="",FALSE,TRUE),exact(metadata!F644,"animal-associated habitat"))</f>
        <v>0</v>
      </c>
      <c r="AA644">
        <f>AND(IF(metadata!G644="",FALSE,TRUE),exact(metadata!G644,"mouse"))</f>
        <v>0</v>
      </c>
      <c r="AB644">
        <f>AND(IF(metadata!H644="",FALSE,TRUE),exact(metadata!H644,"Mus musculus"))</f>
        <v>0</v>
      </c>
      <c r="AC644">
        <f>AND(IF(metadata!I644="",FALSE,TRUE),exact(metadata!I644,"10090"))</f>
        <v>0</v>
      </c>
      <c r="AD644">
        <f>OR(AND(IF(metadata!J644="",FALSE,TRUE),OR(exact(metadata!J644,"not applicable"),exact(metadata!J644,"missing: not collected"),exact(metadata!J644,"missing: not provided"),exact(metadata!J644,"missing: restricted access"))),AND(IF(metadata!J644="",FALSE,ISNUMBER(VALUE(metadata!J644))),metadata!J644&gt;0))</f>
        <v>0</v>
      </c>
      <c r="AE644">
        <f>AND(IF(metadata!K644="",FALSE,TRUE),exact(metadata!K644,"g"))</f>
        <v>0</v>
      </c>
    </row>
    <row r="645" spans="1:31">
      <c r="A645" s="5">
        <f>IF(B645=" "," ",HYPERLINK(CONCATENATE("#metadata!",ADDRESS(INDEX($Q$2:$Q$1001,MATCH(ROWS($O$2:O645),$O$2:$O$1001,0),0),1)),INDEX($T$2:$T$1001,MATCH(ROWS($O$2:O645),$O$2:$O$1001,0),0)))</f>
        <v>0</v>
      </c>
      <c r="B645" s="4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4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4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4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4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4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4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4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4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4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OR(AND(IF(metadata!C645="",FALSE,TRUE),OR(exact(metadata!C645,"not applicable"),exact(metadata!C645,"missing: not collected"),exact(metadata!C645,"missing: not provided"),exact(metadata!C645,"missing: restricted access"))),AND(IF(metadata!C645="",FALSE,ISNUMBER(VALUE(metadata!C645))),metadata!C645&gt;0))</f>
        <v>0</v>
      </c>
      <c r="X645">
        <f>AND(IF(metadata!D645="",FALSE,TRUE),exact(metadata!D645,"weeks"))</f>
        <v>0</v>
      </c>
      <c r="Y645">
        <f>AND(IF(metadata!E645="",FALSE,TRUE),exact(metadata!E645,"urban biome"))</f>
        <v>0</v>
      </c>
      <c r="Z645">
        <f>AND(IF(metadata!F645="",FALSE,TRUE),exact(metadata!F645,"animal-associated habitat"))</f>
        <v>0</v>
      </c>
      <c r="AA645">
        <f>AND(IF(metadata!G645="",FALSE,TRUE),exact(metadata!G645,"mouse"))</f>
        <v>0</v>
      </c>
      <c r="AB645">
        <f>AND(IF(metadata!H645="",FALSE,TRUE),exact(metadata!H645,"Mus musculus"))</f>
        <v>0</v>
      </c>
      <c r="AC645">
        <f>AND(IF(metadata!I645="",FALSE,TRUE),exact(metadata!I645,"10090"))</f>
        <v>0</v>
      </c>
      <c r="AD645">
        <f>OR(AND(IF(metadata!J645="",FALSE,TRUE),OR(exact(metadata!J645,"not applicable"),exact(metadata!J645,"missing: not collected"),exact(metadata!J645,"missing: not provided"),exact(metadata!J645,"missing: restricted access"))),AND(IF(metadata!J645="",FALSE,ISNUMBER(VALUE(metadata!J645))),metadata!J645&gt;0))</f>
        <v>0</v>
      </c>
      <c r="AE645">
        <f>AND(IF(metadata!K645="",FALSE,TRUE),exact(metadata!K645,"g"))</f>
        <v>0</v>
      </c>
    </row>
    <row r="646" spans="1:31">
      <c r="A646" s="5">
        <f>IF(B646=" "," ",HYPERLINK(CONCATENATE("#metadata!",ADDRESS(INDEX($Q$2:$Q$1001,MATCH(ROWS($O$2:O646),$O$2:$O$1001,0),0),1)),INDEX($T$2:$T$1001,MATCH(ROWS($O$2:O646),$O$2:$O$1001,0),0)))</f>
        <v>0</v>
      </c>
      <c r="B646" s="4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4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4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4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4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4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4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4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4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4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OR(AND(IF(metadata!C646="",FALSE,TRUE),OR(exact(metadata!C646,"not applicable"),exact(metadata!C646,"missing: not collected"),exact(metadata!C646,"missing: not provided"),exact(metadata!C646,"missing: restricted access"))),AND(IF(metadata!C646="",FALSE,ISNUMBER(VALUE(metadata!C646))),metadata!C646&gt;0))</f>
        <v>0</v>
      </c>
      <c r="X646">
        <f>AND(IF(metadata!D646="",FALSE,TRUE),exact(metadata!D646,"weeks"))</f>
        <v>0</v>
      </c>
      <c r="Y646">
        <f>AND(IF(metadata!E646="",FALSE,TRUE),exact(metadata!E646,"urban biome"))</f>
        <v>0</v>
      </c>
      <c r="Z646">
        <f>AND(IF(metadata!F646="",FALSE,TRUE),exact(metadata!F646,"animal-associated habitat"))</f>
        <v>0</v>
      </c>
      <c r="AA646">
        <f>AND(IF(metadata!G646="",FALSE,TRUE),exact(metadata!G646,"mouse"))</f>
        <v>0</v>
      </c>
      <c r="AB646">
        <f>AND(IF(metadata!H646="",FALSE,TRUE),exact(metadata!H646,"Mus musculus"))</f>
        <v>0</v>
      </c>
      <c r="AC646">
        <f>AND(IF(metadata!I646="",FALSE,TRUE),exact(metadata!I646,"10090"))</f>
        <v>0</v>
      </c>
      <c r="AD646">
        <f>OR(AND(IF(metadata!J646="",FALSE,TRUE),OR(exact(metadata!J646,"not applicable"),exact(metadata!J646,"missing: not collected"),exact(metadata!J646,"missing: not provided"),exact(metadata!J646,"missing: restricted access"))),AND(IF(metadata!J646="",FALSE,ISNUMBER(VALUE(metadata!J646))),metadata!J646&gt;0))</f>
        <v>0</v>
      </c>
      <c r="AE646">
        <f>AND(IF(metadata!K646="",FALSE,TRUE),exact(metadata!K646,"g"))</f>
        <v>0</v>
      </c>
    </row>
    <row r="647" spans="1:31">
      <c r="A647" s="5">
        <f>IF(B647=" "," ",HYPERLINK(CONCATENATE("#metadata!",ADDRESS(INDEX($Q$2:$Q$1001,MATCH(ROWS($O$2:O647),$O$2:$O$1001,0),0),1)),INDEX($T$2:$T$1001,MATCH(ROWS($O$2:O647),$O$2:$O$1001,0),0)))</f>
        <v>0</v>
      </c>
      <c r="B647" s="4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4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4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4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4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4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4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4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4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4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OR(AND(IF(metadata!C647="",FALSE,TRUE),OR(exact(metadata!C647,"not applicable"),exact(metadata!C647,"missing: not collected"),exact(metadata!C647,"missing: not provided"),exact(metadata!C647,"missing: restricted access"))),AND(IF(metadata!C647="",FALSE,ISNUMBER(VALUE(metadata!C647))),metadata!C647&gt;0))</f>
        <v>0</v>
      </c>
      <c r="X647">
        <f>AND(IF(metadata!D647="",FALSE,TRUE),exact(metadata!D647,"weeks"))</f>
        <v>0</v>
      </c>
      <c r="Y647">
        <f>AND(IF(metadata!E647="",FALSE,TRUE),exact(metadata!E647,"urban biome"))</f>
        <v>0</v>
      </c>
      <c r="Z647">
        <f>AND(IF(metadata!F647="",FALSE,TRUE),exact(metadata!F647,"animal-associated habitat"))</f>
        <v>0</v>
      </c>
      <c r="AA647">
        <f>AND(IF(metadata!G647="",FALSE,TRUE),exact(metadata!G647,"mouse"))</f>
        <v>0</v>
      </c>
      <c r="AB647">
        <f>AND(IF(metadata!H647="",FALSE,TRUE),exact(metadata!H647,"Mus musculus"))</f>
        <v>0</v>
      </c>
      <c r="AC647">
        <f>AND(IF(metadata!I647="",FALSE,TRUE),exact(metadata!I647,"10090"))</f>
        <v>0</v>
      </c>
      <c r="AD647">
        <f>OR(AND(IF(metadata!J647="",FALSE,TRUE),OR(exact(metadata!J647,"not applicable"),exact(metadata!J647,"missing: not collected"),exact(metadata!J647,"missing: not provided"),exact(metadata!J647,"missing: restricted access"))),AND(IF(metadata!J647="",FALSE,ISNUMBER(VALUE(metadata!J647))),metadata!J647&gt;0))</f>
        <v>0</v>
      </c>
      <c r="AE647">
        <f>AND(IF(metadata!K647="",FALSE,TRUE),exact(metadata!K647,"g"))</f>
        <v>0</v>
      </c>
    </row>
    <row r="648" spans="1:31">
      <c r="A648" s="5">
        <f>IF(B648=" "," ",HYPERLINK(CONCATENATE("#metadata!",ADDRESS(INDEX($Q$2:$Q$1001,MATCH(ROWS($O$2:O648),$O$2:$O$1001,0),0),1)),INDEX($T$2:$T$1001,MATCH(ROWS($O$2:O648),$O$2:$O$1001,0),0)))</f>
        <v>0</v>
      </c>
      <c r="B648" s="4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4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4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4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4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4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4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4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4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4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OR(AND(IF(metadata!C648="",FALSE,TRUE),OR(exact(metadata!C648,"not applicable"),exact(metadata!C648,"missing: not collected"),exact(metadata!C648,"missing: not provided"),exact(metadata!C648,"missing: restricted access"))),AND(IF(metadata!C648="",FALSE,ISNUMBER(VALUE(metadata!C648))),metadata!C648&gt;0))</f>
        <v>0</v>
      </c>
      <c r="X648">
        <f>AND(IF(metadata!D648="",FALSE,TRUE),exact(metadata!D648,"weeks"))</f>
        <v>0</v>
      </c>
      <c r="Y648">
        <f>AND(IF(metadata!E648="",FALSE,TRUE),exact(metadata!E648,"urban biome"))</f>
        <v>0</v>
      </c>
      <c r="Z648">
        <f>AND(IF(metadata!F648="",FALSE,TRUE),exact(metadata!F648,"animal-associated habitat"))</f>
        <v>0</v>
      </c>
      <c r="AA648">
        <f>AND(IF(metadata!G648="",FALSE,TRUE),exact(metadata!G648,"mouse"))</f>
        <v>0</v>
      </c>
      <c r="AB648">
        <f>AND(IF(metadata!H648="",FALSE,TRUE),exact(metadata!H648,"Mus musculus"))</f>
        <v>0</v>
      </c>
      <c r="AC648">
        <f>AND(IF(metadata!I648="",FALSE,TRUE),exact(metadata!I648,"10090"))</f>
        <v>0</v>
      </c>
      <c r="AD648">
        <f>OR(AND(IF(metadata!J648="",FALSE,TRUE),OR(exact(metadata!J648,"not applicable"),exact(metadata!J648,"missing: not collected"),exact(metadata!J648,"missing: not provided"),exact(metadata!J648,"missing: restricted access"))),AND(IF(metadata!J648="",FALSE,ISNUMBER(VALUE(metadata!J648))),metadata!J648&gt;0))</f>
        <v>0</v>
      </c>
      <c r="AE648">
        <f>AND(IF(metadata!K648="",FALSE,TRUE),exact(metadata!K648,"g"))</f>
        <v>0</v>
      </c>
    </row>
    <row r="649" spans="1:31">
      <c r="A649" s="5">
        <f>IF(B649=" "," ",HYPERLINK(CONCATENATE("#metadata!",ADDRESS(INDEX($Q$2:$Q$1001,MATCH(ROWS($O$2:O649),$O$2:$O$1001,0),0),1)),INDEX($T$2:$T$1001,MATCH(ROWS($O$2:O649),$O$2:$O$1001,0),0)))</f>
        <v>0</v>
      </c>
      <c r="B649" s="4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4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4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4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4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4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4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4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4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4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OR(AND(IF(metadata!C649="",FALSE,TRUE),OR(exact(metadata!C649,"not applicable"),exact(metadata!C649,"missing: not collected"),exact(metadata!C649,"missing: not provided"),exact(metadata!C649,"missing: restricted access"))),AND(IF(metadata!C649="",FALSE,ISNUMBER(VALUE(metadata!C649))),metadata!C649&gt;0))</f>
        <v>0</v>
      </c>
      <c r="X649">
        <f>AND(IF(metadata!D649="",FALSE,TRUE),exact(metadata!D649,"weeks"))</f>
        <v>0</v>
      </c>
      <c r="Y649">
        <f>AND(IF(metadata!E649="",FALSE,TRUE),exact(metadata!E649,"urban biome"))</f>
        <v>0</v>
      </c>
      <c r="Z649">
        <f>AND(IF(metadata!F649="",FALSE,TRUE),exact(metadata!F649,"animal-associated habitat"))</f>
        <v>0</v>
      </c>
      <c r="AA649">
        <f>AND(IF(metadata!G649="",FALSE,TRUE),exact(metadata!G649,"mouse"))</f>
        <v>0</v>
      </c>
      <c r="AB649">
        <f>AND(IF(metadata!H649="",FALSE,TRUE),exact(metadata!H649,"Mus musculus"))</f>
        <v>0</v>
      </c>
      <c r="AC649">
        <f>AND(IF(metadata!I649="",FALSE,TRUE),exact(metadata!I649,"10090"))</f>
        <v>0</v>
      </c>
      <c r="AD649">
        <f>OR(AND(IF(metadata!J649="",FALSE,TRUE),OR(exact(metadata!J649,"not applicable"),exact(metadata!J649,"missing: not collected"),exact(metadata!J649,"missing: not provided"),exact(metadata!J649,"missing: restricted access"))),AND(IF(metadata!J649="",FALSE,ISNUMBER(VALUE(metadata!J649))),metadata!J649&gt;0))</f>
        <v>0</v>
      </c>
      <c r="AE649">
        <f>AND(IF(metadata!K649="",FALSE,TRUE),exact(metadata!K649,"g"))</f>
        <v>0</v>
      </c>
    </row>
    <row r="650" spans="1:31">
      <c r="A650" s="5">
        <f>IF(B650=" "," ",HYPERLINK(CONCATENATE("#metadata!",ADDRESS(INDEX($Q$2:$Q$1001,MATCH(ROWS($O$2:O650),$O$2:$O$1001,0),0),1)),INDEX($T$2:$T$1001,MATCH(ROWS($O$2:O650),$O$2:$O$1001,0),0)))</f>
        <v>0</v>
      </c>
      <c r="B650" s="4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4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4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4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4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4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4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4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4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4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OR(AND(IF(metadata!C650="",FALSE,TRUE),OR(exact(metadata!C650,"not applicable"),exact(metadata!C650,"missing: not collected"),exact(metadata!C650,"missing: not provided"),exact(metadata!C650,"missing: restricted access"))),AND(IF(metadata!C650="",FALSE,ISNUMBER(VALUE(metadata!C650))),metadata!C650&gt;0))</f>
        <v>0</v>
      </c>
      <c r="X650">
        <f>AND(IF(metadata!D650="",FALSE,TRUE),exact(metadata!D650,"weeks"))</f>
        <v>0</v>
      </c>
      <c r="Y650">
        <f>AND(IF(metadata!E650="",FALSE,TRUE),exact(metadata!E650,"urban biome"))</f>
        <v>0</v>
      </c>
      <c r="Z650">
        <f>AND(IF(metadata!F650="",FALSE,TRUE),exact(metadata!F650,"animal-associated habitat"))</f>
        <v>0</v>
      </c>
      <c r="AA650">
        <f>AND(IF(metadata!G650="",FALSE,TRUE),exact(metadata!G650,"mouse"))</f>
        <v>0</v>
      </c>
      <c r="AB650">
        <f>AND(IF(metadata!H650="",FALSE,TRUE),exact(metadata!H650,"Mus musculus"))</f>
        <v>0</v>
      </c>
      <c r="AC650">
        <f>AND(IF(metadata!I650="",FALSE,TRUE),exact(metadata!I650,"10090"))</f>
        <v>0</v>
      </c>
      <c r="AD650">
        <f>OR(AND(IF(metadata!J650="",FALSE,TRUE),OR(exact(metadata!J650,"not applicable"),exact(metadata!J650,"missing: not collected"),exact(metadata!J650,"missing: not provided"),exact(metadata!J650,"missing: restricted access"))),AND(IF(metadata!J650="",FALSE,ISNUMBER(VALUE(metadata!J650))),metadata!J650&gt;0))</f>
        <v>0</v>
      </c>
      <c r="AE650">
        <f>AND(IF(metadata!K650="",FALSE,TRUE),exact(metadata!K650,"g"))</f>
        <v>0</v>
      </c>
    </row>
    <row r="651" spans="1:31">
      <c r="A651" s="5">
        <f>IF(B651=" "," ",HYPERLINK(CONCATENATE("#metadata!",ADDRESS(INDEX($Q$2:$Q$1001,MATCH(ROWS($O$2:O651),$O$2:$O$1001,0),0),1)),INDEX($T$2:$T$1001,MATCH(ROWS($O$2:O651),$O$2:$O$1001,0),0)))</f>
        <v>0</v>
      </c>
      <c r="B651" s="4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4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4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4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4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4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4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4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4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4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OR(AND(IF(metadata!C651="",FALSE,TRUE),OR(exact(metadata!C651,"not applicable"),exact(metadata!C651,"missing: not collected"),exact(metadata!C651,"missing: not provided"),exact(metadata!C651,"missing: restricted access"))),AND(IF(metadata!C651="",FALSE,ISNUMBER(VALUE(metadata!C651))),metadata!C651&gt;0))</f>
        <v>0</v>
      </c>
      <c r="X651">
        <f>AND(IF(metadata!D651="",FALSE,TRUE),exact(metadata!D651,"weeks"))</f>
        <v>0</v>
      </c>
      <c r="Y651">
        <f>AND(IF(metadata!E651="",FALSE,TRUE),exact(metadata!E651,"urban biome"))</f>
        <v>0</v>
      </c>
      <c r="Z651">
        <f>AND(IF(metadata!F651="",FALSE,TRUE),exact(metadata!F651,"animal-associated habitat"))</f>
        <v>0</v>
      </c>
      <c r="AA651">
        <f>AND(IF(metadata!G651="",FALSE,TRUE),exact(metadata!G651,"mouse"))</f>
        <v>0</v>
      </c>
      <c r="AB651">
        <f>AND(IF(metadata!H651="",FALSE,TRUE),exact(metadata!H651,"Mus musculus"))</f>
        <v>0</v>
      </c>
      <c r="AC651">
        <f>AND(IF(metadata!I651="",FALSE,TRUE),exact(metadata!I651,"10090"))</f>
        <v>0</v>
      </c>
      <c r="AD651">
        <f>OR(AND(IF(metadata!J651="",FALSE,TRUE),OR(exact(metadata!J651,"not applicable"),exact(metadata!J651,"missing: not collected"),exact(metadata!J651,"missing: not provided"),exact(metadata!J651,"missing: restricted access"))),AND(IF(metadata!J651="",FALSE,ISNUMBER(VALUE(metadata!J651))),metadata!J651&gt;0))</f>
        <v>0</v>
      </c>
      <c r="AE651">
        <f>AND(IF(metadata!K651="",FALSE,TRUE),exact(metadata!K651,"g"))</f>
        <v>0</v>
      </c>
    </row>
    <row r="652" spans="1:31">
      <c r="A652" s="5">
        <f>IF(B652=" "," ",HYPERLINK(CONCATENATE("#metadata!",ADDRESS(INDEX($Q$2:$Q$1001,MATCH(ROWS($O$2:O652),$O$2:$O$1001,0),0),1)),INDEX($T$2:$T$1001,MATCH(ROWS($O$2:O652),$O$2:$O$1001,0),0)))</f>
        <v>0</v>
      </c>
      <c r="B652" s="4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4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4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4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4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4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4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4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4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4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OR(AND(IF(metadata!C652="",FALSE,TRUE),OR(exact(metadata!C652,"not applicable"),exact(metadata!C652,"missing: not collected"),exact(metadata!C652,"missing: not provided"),exact(metadata!C652,"missing: restricted access"))),AND(IF(metadata!C652="",FALSE,ISNUMBER(VALUE(metadata!C652))),metadata!C652&gt;0))</f>
        <v>0</v>
      </c>
      <c r="X652">
        <f>AND(IF(metadata!D652="",FALSE,TRUE),exact(metadata!D652,"weeks"))</f>
        <v>0</v>
      </c>
      <c r="Y652">
        <f>AND(IF(metadata!E652="",FALSE,TRUE),exact(metadata!E652,"urban biome"))</f>
        <v>0</v>
      </c>
      <c r="Z652">
        <f>AND(IF(metadata!F652="",FALSE,TRUE),exact(metadata!F652,"animal-associated habitat"))</f>
        <v>0</v>
      </c>
      <c r="AA652">
        <f>AND(IF(metadata!G652="",FALSE,TRUE),exact(metadata!G652,"mouse"))</f>
        <v>0</v>
      </c>
      <c r="AB652">
        <f>AND(IF(metadata!H652="",FALSE,TRUE),exact(metadata!H652,"Mus musculus"))</f>
        <v>0</v>
      </c>
      <c r="AC652">
        <f>AND(IF(metadata!I652="",FALSE,TRUE),exact(metadata!I652,"10090"))</f>
        <v>0</v>
      </c>
      <c r="AD652">
        <f>OR(AND(IF(metadata!J652="",FALSE,TRUE),OR(exact(metadata!J652,"not applicable"),exact(metadata!J652,"missing: not collected"),exact(metadata!J652,"missing: not provided"),exact(metadata!J652,"missing: restricted access"))),AND(IF(metadata!J652="",FALSE,ISNUMBER(VALUE(metadata!J652))),metadata!J652&gt;0))</f>
        <v>0</v>
      </c>
      <c r="AE652">
        <f>AND(IF(metadata!K652="",FALSE,TRUE),exact(metadata!K652,"g"))</f>
        <v>0</v>
      </c>
    </row>
    <row r="653" spans="1:31">
      <c r="A653" s="5">
        <f>IF(B653=" "," ",HYPERLINK(CONCATENATE("#metadata!",ADDRESS(INDEX($Q$2:$Q$1001,MATCH(ROWS($O$2:O653),$O$2:$O$1001,0),0),1)),INDEX($T$2:$T$1001,MATCH(ROWS($O$2:O653),$O$2:$O$1001,0),0)))</f>
        <v>0</v>
      </c>
      <c r="B653" s="4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4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4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4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4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4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4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4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4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4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OR(AND(IF(metadata!C653="",FALSE,TRUE),OR(exact(metadata!C653,"not applicable"),exact(metadata!C653,"missing: not collected"),exact(metadata!C653,"missing: not provided"),exact(metadata!C653,"missing: restricted access"))),AND(IF(metadata!C653="",FALSE,ISNUMBER(VALUE(metadata!C653))),metadata!C653&gt;0))</f>
        <v>0</v>
      </c>
      <c r="X653">
        <f>AND(IF(metadata!D653="",FALSE,TRUE),exact(metadata!D653,"weeks"))</f>
        <v>0</v>
      </c>
      <c r="Y653">
        <f>AND(IF(metadata!E653="",FALSE,TRUE),exact(metadata!E653,"urban biome"))</f>
        <v>0</v>
      </c>
      <c r="Z653">
        <f>AND(IF(metadata!F653="",FALSE,TRUE),exact(metadata!F653,"animal-associated habitat"))</f>
        <v>0</v>
      </c>
      <c r="AA653">
        <f>AND(IF(metadata!G653="",FALSE,TRUE),exact(metadata!G653,"mouse"))</f>
        <v>0</v>
      </c>
      <c r="AB653">
        <f>AND(IF(metadata!H653="",FALSE,TRUE),exact(metadata!H653,"Mus musculus"))</f>
        <v>0</v>
      </c>
      <c r="AC653">
        <f>AND(IF(metadata!I653="",FALSE,TRUE),exact(metadata!I653,"10090"))</f>
        <v>0</v>
      </c>
      <c r="AD653">
        <f>OR(AND(IF(metadata!J653="",FALSE,TRUE),OR(exact(metadata!J653,"not applicable"),exact(metadata!J653,"missing: not collected"),exact(metadata!J653,"missing: not provided"),exact(metadata!J653,"missing: restricted access"))),AND(IF(metadata!J653="",FALSE,ISNUMBER(VALUE(metadata!J653))),metadata!J653&gt;0))</f>
        <v>0</v>
      </c>
      <c r="AE653">
        <f>AND(IF(metadata!K653="",FALSE,TRUE),exact(metadata!K653,"g"))</f>
        <v>0</v>
      </c>
    </row>
    <row r="654" spans="1:31">
      <c r="A654" s="5">
        <f>IF(B654=" "," ",HYPERLINK(CONCATENATE("#metadata!",ADDRESS(INDEX($Q$2:$Q$1001,MATCH(ROWS($O$2:O654),$O$2:$O$1001,0),0),1)),INDEX($T$2:$T$1001,MATCH(ROWS($O$2:O654),$O$2:$O$1001,0),0)))</f>
        <v>0</v>
      </c>
      <c r="B654" s="4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4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4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4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4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4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4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4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4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4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OR(AND(IF(metadata!C654="",FALSE,TRUE),OR(exact(metadata!C654,"not applicable"),exact(metadata!C654,"missing: not collected"),exact(metadata!C654,"missing: not provided"),exact(metadata!C654,"missing: restricted access"))),AND(IF(metadata!C654="",FALSE,ISNUMBER(VALUE(metadata!C654))),metadata!C654&gt;0))</f>
        <v>0</v>
      </c>
      <c r="X654">
        <f>AND(IF(metadata!D654="",FALSE,TRUE),exact(metadata!D654,"weeks"))</f>
        <v>0</v>
      </c>
      <c r="Y654">
        <f>AND(IF(metadata!E654="",FALSE,TRUE),exact(metadata!E654,"urban biome"))</f>
        <v>0</v>
      </c>
      <c r="Z654">
        <f>AND(IF(metadata!F654="",FALSE,TRUE),exact(metadata!F654,"animal-associated habitat"))</f>
        <v>0</v>
      </c>
      <c r="AA654">
        <f>AND(IF(metadata!G654="",FALSE,TRUE),exact(metadata!G654,"mouse"))</f>
        <v>0</v>
      </c>
      <c r="AB654">
        <f>AND(IF(metadata!H654="",FALSE,TRUE),exact(metadata!H654,"Mus musculus"))</f>
        <v>0</v>
      </c>
      <c r="AC654">
        <f>AND(IF(metadata!I654="",FALSE,TRUE),exact(metadata!I654,"10090"))</f>
        <v>0</v>
      </c>
      <c r="AD654">
        <f>OR(AND(IF(metadata!J654="",FALSE,TRUE),OR(exact(metadata!J654,"not applicable"),exact(metadata!J654,"missing: not collected"),exact(metadata!J654,"missing: not provided"),exact(metadata!J654,"missing: restricted access"))),AND(IF(metadata!J654="",FALSE,ISNUMBER(VALUE(metadata!J654))),metadata!J654&gt;0))</f>
        <v>0</v>
      </c>
      <c r="AE654">
        <f>AND(IF(metadata!K654="",FALSE,TRUE),exact(metadata!K654,"g"))</f>
        <v>0</v>
      </c>
    </row>
    <row r="655" spans="1:31">
      <c r="A655" s="5">
        <f>IF(B655=" "," ",HYPERLINK(CONCATENATE("#metadata!",ADDRESS(INDEX($Q$2:$Q$1001,MATCH(ROWS($O$2:O655),$O$2:$O$1001,0),0),1)),INDEX($T$2:$T$1001,MATCH(ROWS($O$2:O655),$O$2:$O$1001,0),0)))</f>
        <v>0</v>
      </c>
      <c r="B655" s="4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4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4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4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4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4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4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4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4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4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OR(AND(IF(metadata!C655="",FALSE,TRUE),OR(exact(metadata!C655,"not applicable"),exact(metadata!C655,"missing: not collected"),exact(metadata!C655,"missing: not provided"),exact(metadata!C655,"missing: restricted access"))),AND(IF(metadata!C655="",FALSE,ISNUMBER(VALUE(metadata!C655))),metadata!C655&gt;0))</f>
        <v>0</v>
      </c>
      <c r="X655">
        <f>AND(IF(metadata!D655="",FALSE,TRUE),exact(metadata!D655,"weeks"))</f>
        <v>0</v>
      </c>
      <c r="Y655">
        <f>AND(IF(metadata!E655="",FALSE,TRUE),exact(metadata!E655,"urban biome"))</f>
        <v>0</v>
      </c>
      <c r="Z655">
        <f>AND(IF(metadata!F655="",FALSE,TRUE),exact(metadata!F655,"animal-associated habitat"))</f>
        <v>0</v>
      </c>
      <c r="AA655">
        <f>AND(IF(metadata!G655="",FALSE,TRUE),exact(metadata!G655,"mouse"))</f>
        <v>0</v>
      </c>
      <c r="AB655">
        <f>AND(IF(metadata!H655="",FALSE,TRUE),exact(metadata!H655,"Mus musculus"))</f>
        <v>0</v>
      </c>
      <c r="AC655">
        <f>AND(IF(metadata!I655="",FALSE,TRUE),exact(metadata!I655,"10090"))</f>
        <v>0</v>
      </c>
      <c r="AD655">
        <f>OR(AND(IF(metadata!J655="",FALSE,TRUE),OR(exact(metadata!J655,"not applicable"),exact(metadata!J655,"missing: not collected"),exact(metadata!J655,"missing: not provided"),exact(metadata!J655,"missing: restricted access"))),AND(IF(metadata!J655="",FALSE,ISNUMBER(VALUE(metadata!J655))),metadata!J655&gt;0))</f>
        <v>0</v>
      </c>
      <c r="AE655">
        <f>AND(IF(metadata!K655="",FALSE,TRUE),exact(metadata!K655,"g"))</f>
        <v>0</v>
      </c>
    </row>
    <row r="656" spans="1:31">
      <c r="A656" s="5">
        <f>IF(B656=" "," ",HYPERLINK(CONCATENATE("#metadata!",ADDRESS(INDEX($Q$2:$Q$1001,MATCH(ROWS($O$2:O656),$O$2:$O$1001,0),0),1)),INDEX($T$2:$T$1001,MATCH(ROWS($O$2:O656),$O$2:$O$1001,0),0)))</f>
        <v>0</v>
      </c>
      <c r="B656" s="4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4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4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4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4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4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4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4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4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4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OR(AND(IF(metadata!C656="",FALSE,TRUE),OR(exact(metadata!C656,"not applicable"),exact(metadata!C656,"missing: not collected"),exact(metadata!C656,"missing: not provided"),exact(metadata!C656,"missing: restricted access"))),AND(IF(metadata!C656="",FALSE,ISNUMBER(VALUE(metadata!C656))),metadata!C656&gt;0))</f>
        <v>0</v>
      </c>
      <c r="X656">
        <f>AND(IF(metadata!D656="",FALSE,TRUE),exact(metadata!D656,"weeks"))</f>
        <v>0</v>
      </c>
      <c r="Y656">
        <f>AND(IF(metadata!E656="",FALSE,TRUE),exact(metadata!E656,"urban biome"))</f>
        <v>0</v>
      </c>
      <c r="Z656">
        <f>AND(IF(metadata!F656="",FALSE,TRUE),exact(metadata!F656,"animal-associated habitat"))</f>
        <v>0</v>
      </c>
      <c r="AA656">
        <f>AND(IF(metadata!G656="",FALSE,TRUE),exact(metadata!G656,"mouse"))</f>
        <v>0</v>
      </c>
      <c r="AB656">
        <f>AND(IF(metadata!H656="",FALSE,TRUE),exact(metadata!H656,"Mus musculus"))</f>
        <v>0</v>
      </c>
      <c r="AC656">
        <f>AND(IF(metadata!I656="",FALSE,TRUE),exact(metadata!I656,"10090"))</f>
        <v>0</v>
      </c>
      <c r="AD656">
        <f>OR(AND(IF(metadata!J656="",FALSE,TRUE),OR(exact(metadata!J656,"not applicable"),exact(metadata!J656,"missing: not collected"),exact(metadata!J656,"missing: not provided"),exact(metadata!J656,"missing: restricted access"))),AND(IF(metadata!J656="",FALSE,ISNUMBER(VALUE(metadata!J656))),metadata!J656&gt;0))</f>
        <v>0</v>
      </c>
      <c r="AE656">
        <f>AND(IF(metadata!K656="",FALSE,TRUE),exact(metadata!K656,"g"))</f>
        <v>0</v>
      </c>
    </row>
    <row r="657" spans="1:31">
      <c r="A657" s="5">
        <f>IF(B657=" "," ",HYPERLINK(CONCATENATE("#metadata!",ADDRESS(INDEX($Q$2:$Q$1001,MATCH(ROWS($O$2:O657),$O$2:$O$1001,0),0),1)),INDEX($T$2:$T$1001,MATCH(ROWS($O$2:O657),$O$2:$O$1001,0),0)))</f>
        <v>0</v>
      </c>
      <c r="B657" s="4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4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4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4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4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4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4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4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4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4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OR(AND(IF(metadata!C657="",FALSE,TRUE),OR(exact(metadata!C657,"not applicable"),exact(metadata!C657,"missing: not collected"),exact(metadata!C657,"missing: not provided"),exact(metadata!C657,"missing: restricted access"))),AND(IF(metadata!C657="",FALSE,ISNUMBER(VALUE(metadata!C657))),metadata!C657&gt;0))</f>
        <v>0</v>
      </c>
      <c r="X657">
        <f>AND(IF(metadata!D657="",FALSE,TRUE),exact(metadata!D657,"weeks"))</f>
        <v>0</v>
      </c>
      <c r="Y657">
        <f>AND(IF(metadata!E657="",FALSE,TRUE),exact(metadata!E657,"urban biome"))</f>
        <v>0</v>
      </c>
      <c r="Z657">
        <f>AND(IF(metadata!F657="",FALSE,TRUE),exact(metadata!F657,"animal-associated habitat"))</f>
        <v>0</v>
      </c>
      <c r="AA657">
        <f>AND(IF(metadata!G657="",FALSE,TRUE),exact(metadata!G657,"mouse"))</f>
        <v>0</v>
      </c>
      <c r="AB657">
        <f>AND(IF(metadata!H657="",FALSE,TRUE),exact(metadata!H657,"Mus musculus"))</f>
        <v>0</v>
      </c>
      <c r="AC657">
        <f>AND(IF(metadata!I657="",FALSE,TRUE),exact(metadata!I657,"10090"))</f>
        <v>0</v>
      </c>
      <c r="AD657">
        <f>OR(AND(IF(metadata!J657="",FALSE,TRUE),OR(exact(metadata!J657,"not applicable"),exact(metadata!J657,"missing: not collected"),exact(metadata!J657,"missing: not provided"),exact(metadata!J657,"missing: restricted access"))),AND(IF(metadata!J657="",FALSE,ISNUMBER(VALUE(metadata!J657))),metadata!J657&gt;0))</f>
        <v>0</v>
      </c>
      <c r="AE657">
        <f>AND(IF(metadata!K657="",FALSE,TRUE),exact(metadata!K657,"g"))</f>
        <v>0</v>
      </c>
    </row>
    <row r="658" spans="1:31">
      <c r="A658" s="5">
        <f>IF(B658=" "," ",HYPERLINK(CONCATENATE("#metadata!",ADDRESS(INDEX($Q$2:$Q$1001,MATCH(ROWS($O$2:O658),$O$2:$O$1001,0),0),1)),INDEX($T$2:$T$1001,MATCH(ROWS($O$2:O658),$O$2:$O$1001,0),0)))</f>
        <v>0</v>
      </c>
      <c r="B658" s="4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4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4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4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4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4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4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4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4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4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OR(AND(IF(metadata!C658="",FALSE,TRUE),OR(exact(metadata!C658,"not applicable"),exact(metadata!C658,"missing: not collected"),exact(metadata!C658,"missing: not provided"),exact(metadata!C658,"missing: restricted access"))),AND(IF(metadata!C658="",FALSE,ISNUMBER(VALUE(metadata!C658))),metadata!C658&gt;0))</f>
        <v>0</v>
      </c>
      <c r="X658">
        <f>AND(IF(metadata!D658="",FALSE,TRUE),exact(metadata!D658,"weeks"))</f>
        <v>0</v>
      </c>
      <c r="Y658">
        <f>AND(IF(metadata!E658="",FALSE,TRUE),exact(metadata!E658,"urban biome"))</f>
        <v>0</v>
      </c>
      <c r="Z658">
        <f>AND(IF(metadata!F658="",FALSE,TRUE),exact(metadata!F658,"animal-associated habitat"))</f>
        <v>0</v>
      </c>
      <c r="AA658">
        <f>AND(IF(metadata!G658="",FALSE,TRUE),exact(metadata!G658,"mouse"))</f>
        <v>0</v>
      </c>
      <c r="AB658">
        <f>AND(IF(metadata!H658="",FALSE,TRUE),exact(metadata!H658,"Mus musculus"))</f>
        <v>0</v>
      </c>
      <c r="AC658">
        <f>AND(IF(metadata!I658="",FALSE,TRUE),exact(metadata!I658,"10090"))</f>
        <v>0</v>
      </c>
      <c r="AD658">
        <f>OR(AND(IF(metadata!J658="",FALSE,TRUE),OR(exact(metadata!J658,"not applicable"),exact(metadata!J658,"missing: not collected"),exact(metadata!J658,"missing: not provided"),exact(metadata!J658,"missing: restricted access"))),AND(IF(metadata!J658="",FALSE,ISNUMBER(VALUE(metadata!J658))),metadata!J658&gt;0))</f>
        <v>0</v>
      </c>
      <c r="AE658">
        <f>AND(IF(metadata!K658="",FALSE,TRUE),exact(metadata!K658,"g"))</f>
        <v>0</v>
      </c>
    </row>
    <row r="659" spans="1:31">
      <c r="A659" s="5">
        <f>IF(B659=" "," ",HYPERLINK(CONCATENATE("#metadata!",ADDRESS(INDEX($Q$2:$Q$1001,MATCH(ROWS($O$2:O659),$O$2:$O$1001,0),0),1)),INDEX($T$2:$T$1001,MATCH(ROWS($O$2:O659),$O$2:$O$1001,0),0)))</f>
        <v>0</v>
      </c>
      <c r="B659" s="4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4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4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4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4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4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4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4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4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4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OR(AND(IF(metadata!C659="",FALSE,TRUE),OR(exact(metadata!C659,"not applicable"),exact(metadata!C659,"missing: not collected"),exact(metadata!C659,"missing: not provided"),exact(metadata!C659,"missing: restricted access"))),AND(IF(metadata!C659="",FALSE,ISNUMBER(VALUE(metadata!C659))),metadata!C659&gt;0))</f>
        <v>0</v>
      </c>
      <c r="X659">
        <f>AND(IF(metadata!D659="",FALSE,TRUE),exact(metadata!D659,"weeks"))</f>
        <v>0</v>
      </c>
      <c r="Y659">
        <f>AND(IF(metadata!E659="",FALSE,TRUE),exact(metadata!E659,"urban biome"))</f>
        <v>0</v>
      </c>
      <c r="Z659">
        <f>AND(IF(metadata!F659="",FALSE,TRUE),exact(metadata!F659,"animal-associated habitat"))</f>
        <v>0</v>
      </c>
      <c r="AA659">
        <f>AND(IF(metadata!G659="",FALSE,TRUE),exact(metadata!G659,"mouse"))</f>
        <v>0</v>
      </c>
      <c r="AB659">
        <f>AND(IF(metadata!H659="",FALSE,TRUE),exact(metadata!H659,"Mus musculus"))</f>
        <v>0</v>
      </c>
      <c r="AC659">
        <f>AND(IF(metadata!I659="",FALSE,TRUE),exact(metadata!I659,"10090"))</f>
        <v>0</v>
      </c>
      <c r="AD659">
        <f>OR(AND(IF(metadata!J659="",FALSE,TRUE),OR(exact(metadata!J659,"not applicable"),exact(metadata!J659,"missing: not collected"),exact(metadata!J659,"missing: not provided"),exact(metadata!J659,"missing: restricted access"))),AND(IF(metadata!J659="",FALSE,ISNUMBER(VALUE(metadata!J659))),metadata!J659&gt;0))</f>
        <v>0</v>
      </c>
      <c r="AE659">
        <f>AND(IF(metadata!K659="",FALSE,TRUE),exact(metadata!K659,"g"))</f>
        <v>0</v>
      </c>
    </row>
    <row r="660" spans="1:31">
      <c r="A660" s="5">
        <f>IF(B660=" "," ",HYPERLINK(CONCATENATE("#metadata!",ADDRESS(INDEX($Q$2:$Q$1001,MATCH(ROWS($O$2:O660),$O$2:$O$1001,0),0),1)),INDEX($T$2:$T$1001,MATCH(ROWS($O$2:O660),$O$2:$O$1001,0),0)))</f>
        <v>0</v>
      </c>
      <c r="B660" s="4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4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4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4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4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4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4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4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4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4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OR(AND(IF(metadata!C660="",FALSE,TRUE),OR(exact(metadata!C660,"not applicable"),exact(metadata!C660,"missing: not collected"),exact(metadata!C660,"missing: not provided"),exact(metadata!C660,"missing: restricted access"))),AND(IF(metadata!C660="",FALSE,ISNUMBER(VALUE(metadata!C660))),metadata!C660&gt;0))</f>
        <v>0</v>
      </c>
      <c r="X660">
        <f>AND(IF(metadata!D660="",FALSE,TRUE),exact(metadata!D660,"weeks"))</f>
        <v>0</v>
      </c>
      <c r="Y660">
        <f>AND(IF(metadata!E660="",FALSE,TRUE),exact(metadata!E660,"urban biome"))</f>
        <v>0</v>
      </c>
      <c r="Z660">
        <f>AND(IF(metadata!F660="",FALSE,TRUE),exact(metadata!F660,"animal-associated habitat"))</f>
        <v>0</v>
      </c>
      <c r="AA660">
        <f>AND(IF(metadata!G660="",FALSE,TRUE),exact(metadata!G660,"mouse"))</f>
        <v>0</v>
      </c>
      <c r="AB660">
        <f>AND(IF(metadata!H660="",FALSE,TRUE),exact(metadata!H660,"Mus musculus"))</f>
        <v>0</v>
      </c>
      <c r="AC660">
        <f>AND(IF(metadata!I660="",FALSE,TRUE),exact(metadata!I660,"10090"))</f>
        <v>0</v>
      </c>
      <c r="AD660">
        <f>OR(AND(IF(metadata!J660="",FALSE,TRUE),OR(exact(metadata!J660,"not applicable"),exact(metadata!J660,"missing: not collected"),exact(metadata!J660,"missing: not provided"),exact(metadata!J660,"missing: restricted access"))),AND(IF(metadata!J660="",FALSE,ISNUMBER(VALUE(metadata!J660))),metadata!J660&gt;0))</f>
        <v>0</v>
      </c>
      <c r="AE660">
        <f>AND(IF(metadata!K660="",FALSE,TRUE),exact(metadata!K660,"g"))</f>
        <v>0</v>
      </c>
    </row>
    <row r="661" spans="1:31">
      <c r="A661" s="5">
        <f>IF(B661=" "," ",HYPERLINK(CONCATENATE("#metadata!",ADDRESS(INDEX($Q$2:$Q$1001,MATCH(ROWS($O$2:O661),$O$2:$O$1001,0),0),1)),INDEX($T$2:$T$1001,MATCH(ROWS($O$2:O661),$O$2:$O$1001,0),0)))</f>
        <v>0</v>
      </c>
      <c r="B661" s="4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4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4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4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4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4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4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4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4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4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OR(AND(IF(metadata!C661="",FALSE,TRUE),OR(exact(metadata!C661,"not applicable"),exact(metadata!C661,"missing: not collected"),exact(metadata!C661,"missing: not provided"),exact(metadata!C661,"missing: restricted access"))),AND(IF(metadata!C661="",FALSE,ISNUMBER(VALUE(metadata!C661))),metadata!C661&gt;0))</f>
        <v>0</v>
      </c>
      <c r="X661">
        <f>AND(IF(metadata!D661="",FALSE,TRUE),exact(metadata!D661,"weeks"))</f>
        <v>0</v>
      </c>
      <c r="Y661">
        <f>AND(IF(metadata!E661="",FALSE,TRUE),exact(metadata!E661,"urban biome"))</f>
        <v>0</v>
      </c>
      <c r="Z661">
        <f>AND(IF(metadata!F661="",FALSE,TRUE),exact(metadata!F661,"animal-associated habitat"))</f>
        <v>0</v>
      </c>
      <c r="AA661">
        <f>AND(IF(metadata!G661="",FALSE,TRUE),exact(metadata!G661,"mouse"))</f>
        <v>0</v>
      </c>
      <c r="AB661">
        <f>AND(IF(metadata!H661="",FALSE,TRUE),exact(metadata!H661,"Mus musculus"))</f>
        <v>0</v>
      </c>
      <c r="AC661">
        <f>AND(IF(metadata!I661="",FALSE,TRUE),exact(metadata!I661,"10090"))</f>
        <v>0</v>
      </c>
      <c r="AD661">
        <f>OR(AND(IF(metadata!J661="",FALSE,TRUE),OR(exact(metadata!J661,"not applicable"),exact(metadata!J661,"missing: not collected"),exact(metadata!J661,"missing: not provided"),exact(metadata!J661,"missing: restricted access"))),AND(IF(metadata!J661="",FALSE,ISNUMBER(VALUE(metadata!J661))),metadata!J661&gt;0))</f>
        <v>0</v>
      </c>
      <c r="AE661">
        <f>AND(IF(metadata!K661="",FALSE,TRUE),exact(metadata!K661,"g"))</f>
        <v>0</v>
      </c>
    </row>
    <row r="662" spans="1:31">
      <c r="A662" s="5">
        <f>IF(B662=" "," ",HYPERLINK(CONCATENATE("#metadata!",ADDRESS(INDEX($Q$2:$Q$1001,MATCH(ROWS($O$2:O662),$O$2:$O$1001,0),0),1)),INDEX($T$2:$T$1001,MATCH(ROWS($O$2:O662),$O$2:$O$1001,0),0)))</f>
        <v>0</v>
      </c>
      <c r="B662" s="4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4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4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4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4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4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4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4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4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4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OR(AND(IF(metadata!C662="",FALSE,TRUE),OR(exact(metadata!C662,"not applicable"),exact(metadata!C662,"missing: not collected"),exact(metadata!C662,"missing: not provided"),exact(metadata!C662,"missing: restricted access"))),AND(IF(metadata!C662="",FALSE,ISNUMBER(VALUE(metadata!C662))),metadata!C662&gt;0))</f>
        <v>0</v>
      </c>
      <c r="X662">
        <f>AND(IF(metadata!D662="",FALSE,TRUE),exact(metadata!D662,"weeks"))</f>
        <v>0</v>
      </c>
      <c r="Y662">
        <f>AND(IF(metadata!E662="",FALSE,TRUE),exact(metadata!E662,"urban biome"))</f>
        <v>0</v>
      </c>
      <c r="Z662">
        <f>AND(IF(metadata!F662="",FALSE,TRUE),exact(metadata!F662,"animal-associated habitat"))</f>
        <v>0</v>
      </c>
      <c r="AA662">
        <f>AND(IF(metadata!G662="",FALSE,TRUE),exact(metadata!G662,"mouse"))</f>
        <v>0</v>
      </c>
      <c r="AB662">
        <f>AND(IF(metadata!H662="",FALSE,TRUE),exact(metadata!H662,"Mus musculus"))</f>
        <v>0</v>
      </c>
      <c r="AC662">
        <f>AND(IF(metadata!I662="",FALSE,TRUE),exact(metadata!I662,"10090"))</f>
        <v>0</v>
      </c>
      <c r="AD662">
        <f>OR(AND(IF(metadata!J662="",FALSE,TRUE),OR(exact(metadata!J662,"not applicable"),exact(metadata!J662,"missing: not collected"),exact(metadata!J662,"missing: not provided"),exact(metadata!J662,"missing: restricted access"))),AND(IF(metadata!J662="",FALSE,ISNUMBER(VALUE(metadata!J662))),metadata!J662&gt;0))</f>
        <v>0</v>
      </c>
      <c r="AE662">
        <f>AND(IF(metadata!K662="",FALSE,TRUE),exact(metadata!K662,"g"))</f>
        <v>0</v>
      </c>
    </row>
    <row r="663" spans="1:31">
      <c r="A663" s="5">
        <f>IF(B663=" "," ",HYPERLINK(CONCATENATE("#metadata!",ADDRESS(INDEX($Q$2:$Q$1001,MATCH(ROWS($O$2:O663),$O$2:$O$1001,0),0),1)),INDEX($T$2:$T$1001,MATCH(ROWS($O$2:O663),$O$2:$O$1001,0),0)))</f>
        <v>0</v>
      </c>
      <c r="B663" s="4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4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4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4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4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4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4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4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4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4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OR(AND(IF(metadata!C663="",FALSE,TRUE),OR(exact(metadata!C663,"not applicable"),exact(metadata!C663,"missing: not collected"),exact(metadata!C663,"missing: not provided"),exact(metadata!C663,"missing: restricted access"))),AND(IF(metadata!C663="",FALSE,ISNUMBER(VALUE(metadata!C663))),metadata!C663&gt;0))</f>
        <v>0</v>
      </c>
      <c r="X663">
        <f>AND(IF(metadata!D663="",FALSE,TRUE),exact(metadata!D663,"weeks"))</f>
        <v>0</v>
      </c>
      <c r="Y663">
        <f>AND(IF(metadata!E663="",FALSE,TRUE),exact(metadata!E663,"urban biome"))</f>
        <v>0</v>
      </c>
      <c r="Z663">
        <f>AND(IF(metadata!F663="",FALSE,TRUE),exact(metadata!F663,"animal-associated habitat"))</f>
        <v>0</v>
      </c>
      <c r="AA663">
        <f>AND(IF(metadata!G663="",FALSE,TRUE),exact(metadata!G663,"mouse"))</f>
        <v>0</v>
      </c>
      <c r="AB663">
        <f>AND(IF(metadata!H663="",FALSE,TRUE),exact(metadata!H663,"Mus musculus"))</f>
        <v>0</v>
      </c>
      <c r="AC663">
        <f>AND(IF(metadata!I663="",FALSE,TRUE),exact(metadata!I663,"10090"))</f>
        <v>0</v>
      </c>
      <c r="AD663">
        <f>OR(AND(IF(metadata!J663="",FALSE,TRUE),OR(exact(metadata!J663,"not applicable"),exact(metadata!J663,"missing: not collected"),exact(metadata!J663,"missing: not provided"),exact(metadata!J663,"missing: restricted access"))),AND(IF(metadata!J663="",FALSE,ISNUMBER(VALUE(metadata!J663))),metadata!J663&gt;0))</f>
        <v>0</v>
      </c>
      <c r="AE663">
        <f>AND(IF(metadata!K663="",FALSE,TRUE),exact(metadata!K663,"g"))</f>
        <v>0</v>
      </c>
    </row>
    <row r="664" spans="1:31">
      <c r="A664" s="5">
        <f>IF(B664=" "," ",HYPERLINK(CONCATENATE("#metadata!",ADDRESS(INDEX($Q$2:$Q$1001,MATCH(ROWS($O$2:O664),$O$2:$O$1001,0),0),1)),INDEX($T$2:$T$1001,MATCH(ROWS($O$2:O664),$O$2:$O$1001,0),0)))</f>
        <v>0</v>
      </c>
      <c r="B664" s="4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4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4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4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4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4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4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4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4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4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OR(AND(IF(metadata!C664="",FALSE,TRUE),OR(exact(metadata!C664,"not applicable"),exact(metadata!C664,"missing: not collected"),exact(metadata!C664,"missing: not provided"),exact(metadata!C664,"missing: restricted access"))),AND(IF(metadata!C664="",FALSE,ISNUMBER(VALUE(metadata!C664))),metadata!C664&gt;0))</f>
        <v>0</v>
      </c>
      <c r="X664">
        <f>AND(IF(metadata!D664="",FALSE,TRUE),exact(metadata!D664,"weeks"))</f>
        <v>0</v>
      </c>
      <c r="Y664">
        <f>AND(IF(metadata!E664="",FALSE,TRUE),exact(metadata!E664,"urban biome"))</f>
        <v>0</v>
      </c>
      <c r="Z664">
        <f>AND(IF(metadata!F664="",FALSE,TRUE),exact(metadata!F664,"animal-associated habitat"))</f>
        <v>0</v>
      </c>
      <c r="AA664">
        <f>AND(IF(metadata!G664="",FALSE,TRUE),exact(metadata!G664,"mouse"))</f>
        <v>0</v>
      </c>
      <c r="AB664">
        <f>AND(IF(metadata!H664="",FALSE,TRUE),exact(metadata!H664,"Mus musculus"))</f>
        <v>0</v>
      </c>
      <c r="AC664">
        <f>AND(IF(metadata!I664="",FALSE,TRUE),exact(metadata!I664,"10090"))</f>
        <v>0</v>
      </c>
      <c r="AD664">
        <f>OR(AND(IF(metadata!J664="",FALSE,TRUE),OR(exact(metadata!J664,"not applicable"),exact(metadata!J664,"missing: not collected"),exact(metadata!J664,"missing: not provided"),exact(metadata!J664,"missing: restricted access"))),AND(IF(metadata!J664="",FALSE,ISNUMBER(VALUE(metadata!J664))),metadata!J664&gt;0))</f>
        <v>0</v>
      </c>
      <c r="AE664">
        <f>AND(IF(metadata!K664="",FALSE,TRUE),exact(metadata!K664,"g"))</f>
        <v>0</v>
      </c>
    </row>
    <row r="665" spans="1:31">
      <c r="A665" s="5">
        <f>IF(B665=" "," ",HYPERLINK(CONCATENATE("#metadata!",ADDRESS(INDEX($Q$2:$Q$1001,MATCH(ROWS($O$2:O665),$O$2:$O$1001,0),0),1)),INDEX($T$2:$T$1001,MATCH(ROWS($O$2:O665),$O$2:$O$1001,0),0)))</f>
        <v>0</v>
      </c>
      <c r="B665" s="4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4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4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4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4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4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4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4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4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4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OR(AND(IF(metadata!C665="",FALSE,TRUE),OR(exact(metadata!C665,"not applicable"),exact(metadata!C665,"missing: not collected"),exact(metadata!C665,"missing: not provided"),exact(metadata!C665,"missing: restricted access"))),AND(IF(metadata!C665="",FALSE,ISNUMBER(VALUE(metadata!C665))),metadata!C665&gt;0))</f>
        <v>0</v>
      </c>
      <c r="X665">
        <f>AND(IF(metadata!D665="",FALSE,TRUE),exact(metadata!D665,"weeks"))</f>
        <v>0</v>
      </c>
      <c r="Y665">
        <f>AND(IF(metadata!E665="",FALSE,TRUE),exact(metadata!E665,"urban biome"))</f>
        <v>0</v>
      </c>
      <c r="Z665">
        <f>AND(IF(metadata!F665="",FALSE,TRUE),exact(metadata!F665,"animal-associated habitat"))</f>
        <v>0</v>
      </c>
      <c r="AA665">
        <f>AND(IF(metadata!G665="",FALSE,TRUE),exact(metadata!G665,"mouse"))</f>
        <v>0</v>
      </c>
      <c r="AB665">
        <f>AND(IF(metadata!H665="",FALSE,TRUE),exact(metadata!H665,"Mus musculus"))</f>
        <v>0</v>
      </c>
      <c r="AC665">
        <f>AND(IF(metadata!I665="",FALSE,TRUE),exact(metadata!I665,"10090"))</f>
        <v>0</v>
      </c>
      <c r="AD665">
        <f>OR(AND(IF(metadata!J665="",FALSE,TRUE),OR(exact(metadata!J665,"not applicable"),exact(metadata!J665,"missing: not collected"),exact(metadata!J665,"missing: not provided"),exact(metadata!J665,"missing: restricted access"))),AND(IF(metadata!J665="",FALSE,ISNUMBER(VALUE(metadata!J665))),metadata!J665&gt;0))</f>
        <v>0</v>
      </c>
      <c r="AE665">
        <f>AND(IF(metadata!K665="",FALSE,TRUE),exact(metadata!K665,"g"))</f>
        <v>0</v>
      </c>
    </row>
    <row r="666" spans="1:31">
      <c r="A666" s="5">
        <f>IF(B666=" "," ",HYPERLINK(CONCATENATE("#metadata!",ADDRESS(INDEX($Q$2:$Q$1001,MATCH(ROWS($O$2:O666),$O$2:$O$1001,0),0),1)),INDEX($T$2:$T$1001,MATCH(ROWS($O$2:O666),$O$2:$O$1001,0),0)))</f>
        <v>0</v>
      </c>
      <c r="B666" s="4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4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4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4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4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4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4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4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4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4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OR(AND(IF(metadata!C666="",FALSE,TRUE),OR(exact(metadata!C666,"not applicable"),exact(metadata!C666,"missing: not collected"),exact(metadata!C666,"missing: not provided"),exact(metadata!C666,"missing: restricted access"))),AND(IF(metadata!C666="",FALSE,ISNUMBER(VALUE(metadata!C666))),metadata!C666&gt;0))</f>
        <v>0</v>
      </c>
      <c r="X666">
        <f>AND(IF(metadata!D666="",FALSE,TRUE),exact(metadata!D666,"weeks"))</f>
        <v>0</v>
      </c>
      <c r="Y666">
        <f>AND(IF(metadata!E666="",FALSE,TRUE),exact(metadata!E666,"urban biome"))</f>
        <v>0</v>
      </c>
      <c r="Z666">
        <f>AND(IF(metadata!F666="",FALSE,TRUE),exact(metadata!F666,"animal-associated habitat"))</f>
        <v>0</v>
      </c>
      <c r="AA666">
        <f>AND(IF(metadata!G666="",FALSE,TRUE),exact(metadata!G666,"mouse"))</f>
        <v>0</v>
      </c>
      <c r="AB666">
        <f>AND(IF(metadata!H666="",FALSE,TRUE),exact(metadata!H666,"Mus musculus"))</f>
        <v>0</v>
      </c>
      <c r="AC666">
        <f>AND(IF(metadata!I666="",FALSE,TRUE),exact(metadata!I666,"10090"))</f>
        <v>0</v>
      </c>
      <c r="AD666">
        <f>OR(AND(IF(metadata!J666="",FALSE,TRUE),OR(exact(metadata!J666,"not applicable"),exact(metadata!J666,"missing: not collected"),exact(metadata!J666,"missing: not provided"),exact(metadata!J666,"missing: restricted access"))),AND(IF(metadata!J666="",FALSE,ISNUMBER(VALUE(metadata!J666))),metadata!J666&gt;0))</f>
        <v>0</v>
      </c>
      <c r="AE666">
        <f>AND(IF(metadata!K666="",FALSE,TRUE),exact(metadata!K666,"g"))</f>
        <v>0</v>
      </c>
    </row>
    <row r="667" spans="1:31">
      <c r="A667" s="5">
        <f>IF(B667=" "," ",HYPERLINK(CONCATENATE("#metadata!",ADDRESS(INDEX($Q$2:$Q$1001,MATCH(ROWS($O$2:O667),$O$2:$O$1001,0),0),1)),INDEX($T$2:$T$1001,MATCH(ROWS($O$2:O667),$O$2:$O$1001,0),0)))</f>
        <v>0</v>
      </c>
      <c r="B667" s="4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4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4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4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4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4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4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4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4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4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OR(AND(IF(metadata!C667="",FALSE,TRUE),OR(exact(metadata!C667,"not applicable"),exact(metadata!C667,"missing: not collected"),exact(metadata!C667,"missing: not provided"),exact(metadata!C667,"missing: restricted access"))),AND(IF(metadata!C667="",FALSE,ISNUMBER(VALUE(metadata!C667))),metadata!C667&gt;0))</f>
        <v>0</v>
      </c>
      <c r="X667">
        <f>AND(IF(metadata!D667="",FALSE,TRUE),exact(metadata!D667,"weeks"))</f>
        <v>0</v>
      </c>
      <c r="Y667">
        <f>AND(IF(metadata!E667="",FALSE,TRUE),exact(metadata!E667,"urban biome"))</f>
        <v>0</v>
      </c>
      <c r="Z667">
        <f>AND(IF(metadata!F667="",FALSE,TRUE),exact(metadata!F667,"animal-associated habitat"))</f>
        <v>0</v>
      </c>
      <c r="AA667">
        <f>AND(IF(metadata!G667="",FALSE,TRUE),exact(metadata!G667,"mouse"))</f>
        <v>0</v>
      </c>
      <c r="AB667">
        <f>AND(IF(metadata!H667="",FALSE,TRUE),exact(metadata!H667,"Mus musculus"))</f>
        <v>0</v>
      </c>
      <c r="AC667">
        <f>AND(IF(metadata!I667="",FALSE,TRUE),exact(metadata!I667,"10090"))</f>
        <v>0</v>
      </c>
      <c r="AD667">
        <f>OR(AND(IF(metadata!J667="",FALSE,TRUE),OR(exact(metadata!J667,"not applicable"),exact(metadata!J667,"missing: not collected"),exact(metadata!J667,"missing: not provided"),exact(metadata!J667,"missing: restricted access"))),AND(IF(metadata!J667="",FALSE,ISNUMBER(VALUE(metadata!J667))),metadata!J667&gt;0))</f>
        <v>0</v>
      </c>
      <c r="AE667">
        <f>AND(IF(metadata!K667="",FALSE,TRUE),exact(metadata!K667,"g"))</f>
        <v>0</v>
      </c>
    </row>
    <row r="668" spans="1:31">
      <c r="A668" s="5">
        <f>IF(B668=" "," ",HYPERLINK(CONCATENATE("#metadata!",ADDRESS(INDEX($Q$2:$Q$1001,MATCH(ROWS($O$2:O668),$O$2:$O$1001,0),0),1)),INDEX($T$2:$T$1001,MATCH(ROWS($O$2:O668),$O$2:$O$1001,0),0)))</f>
        <v>0</v>
      </c>
      <c r="B668" s="4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4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4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4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4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4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4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4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4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4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OR(AND(IF(metadata!C668="",FALSE,TRUE),OR(exact(metadata!C668,"not applicable"),exact(metadata!C668,"missing: not collected"),exact(metadata!C668,"missing: not provided"),exact(metadata!C668,"missing: restricted access"))),AND(IF(metadata!C668="",FALSE,ISNUMBER(VALUE(metadata!C668))),metadata!C668&gt;0))</f>
        <v>0</v>
      </c>
      <c r="X668">
        <f>AND(IF(metadata!D668="",FALSE,TRUE),exact(metadata!D668,"weeks"))</f>
        <v>0</v>
      </c>
      <c r="Y668">
        <f>AND(IF(metadata!E668="",FALSE,TRUE),exact(metadata!E668,"urban biome"))</f>
        <v>0</v>
      </c>
      <c r="Z668">
        <f>AND(IF(metadata!F668="",FALSE,TRUE),exact(metadata!F668,"animal-associated habitat"))</f>
        <v>0</v>
      </c>
      <c r="AA668">
        <f>AND(IF(metadata!G668="",FALSE,TRUE),exact(metadata!G668,"mouse"))</f>
        <v>0</v>
      </c>
      <c r="AB668">
        <f>AND(IF(metadata!H668="",FALSE,TRUE),exact(metadata!H668,"Mus musculus"))</f>
        <v>0</v>
      </c>
      <c r="AC668">
        <f>AND(IF(metadata!I668="",FALSE,TRUE),exact(metadata!I668,"10090"))</f>
        <v>0</v>
      </c>
      <c r="AD668">
        <f>OR(AND(IF(metadata!J668="",FALSE,TRUE),OR(exact(metadata!J668,"not applicable"),exact(metadata!J668,"missing: not collected"),exact(metadata!J668,"missing: not provided"),exact(metadata!J668,"missing: restricted access"))),AND(IF(metadata!J668="",FALSE,ISNUMBER(VALUE(metadata!J668))),metadata!J668&gt;0))</f>
        <v>0</v>
      </c>
      <c r="AE668">
        <f>AND(IF(metadata!K668="",FALSE,TRUE),exact(metadata!K668,"g"))</f>
        <v>0</v>
      </c>
    </row>
    <row r="669" spans="1:31">
      <c r="A669" s="5">
        <f>IF(B669=" "," ",HYPERLINK(CONCATENATE("#metadata!",ADDRESS(INDEX($Q$2:$Q$1001,MATCH(ROWS($O$2:O669),$O$2:$O$1001,0),0),1)),INDEX($T$2:$T$1001,MATCH(ROWS($O$2:O669),$O$2:$O$1001,0),0)))</f>
        <v>0</v>
      </c>
      <c r="B669" s="4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4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4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4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4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4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4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4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4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4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OR(AND(IF(metadata!C669="",FALSE,TRUE),OR(exact(metadata!C669,"not applicable"),exact(metadata!C669,"missing: not collected"),exact(metadata!C669,"missing: not provided"),exact(metadata!C669,"missing: restricted access"))),AND(IF(metadata!C669="",FALSE,ISNUMBER(VALUE(metadata!C669))),metadata!C669&gt;0))</f>
        <v>0</v>
      </c>
      <c r="X669">
        <f>AND(IF(metadata!D669="",FALSE,TRUE),exact(metadata!D669,"weeks"))</f>
        <v>0</v>
      </c>
      <c r="Y669">
        <f>AND(IF(metadata!E669="",FALSE,TRUE),exact(metadata!E669,"urban biome"))</f>
        <v>0</v>
      </c>
      <c r="Z669">
        <f>AND(IF(metadata!F669="",FALSE,TRUE),exact(metadata!F669,"animal-associated habitat"))</f>
        <v>0</v>
      </c>
      <c r="AA669">
        <f>AND(IF(metadata!G669="",FALSE,TRUE),exact(metadata!G669,"mouse"))</f>
        <v>0</v>
      </c>
      <c r="AB669">
        <f>AND(IF(metadata!H669="",FALSE,TRUE),exact(metadata!H669,"Mus musculus"))</f>
        <v>0</v>
      </c>
      <c r="AC669">
        <f>AND(IF(metadata!I669="",FALSE,TRUE),exact(metadata!I669,"10090"))</f>
        <v>0</v>
      </c>
      <c r="AD669">
        <f>OR(AND(IF(metadata!J669="",FALSE,TRUE),OR(exact(metadata!J669,"not applicable"),exact(metadata!J669,"missing: not collected"),exact(metadata!J669,"missing: not provided"),exact(metadata!J669,"missing: restricted access"))),AND(IF(metadata!J669="",FALSE,ISNUMBER(VALUE(metadata!J669))),metadata!J669&gt;0))</f>
        <v>0</v>
      </c>
      <c r="AE669">
        <f>AND(IF(metadata!K669="",FALSE,TRUE),exact(metadata!K669,"g"))</f>
        <v>0</v>
      </c>
    </row>
    <row r="670" spans="1:31">
      <c r="A670" s="5">
        <f>IF(B670=" "," ",HYPERLINK(CONCATENATE("#metadata!",ADDRESS(INDEX($Q$2:$Q$1001,MATCH(ROWS($O$2:O670),$O$2:$O$1001,0),0),1)),INDEX($T$2:$T$1001,MATCH(ROWS($O$2:O670),$O$2:$O$1001,0),0)))</f>
        <v>0</v>
      </c>
      <c r="B670" s="4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4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4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4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4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4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4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4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4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4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OR(AND(IF(metadata!C670="",FALSE,TRUE),OR(exact(metadata!C670,"not applicable"),exact(metadata!C670,"missing: not collected"),exact(metadata!C670,"missing: not provided"),exact(metadata!C670,"missing: restricted access"))),AND(IF(metadata!C670="",FALSE,ISNUMBER(VALUE(metadata!C670))),metadata!C670&gt;0))</f>
        <v>0</v>
      </c>
      <c r="X670">
        <f>AND(IF(metadata!D670="",FALSE,TRUE),exact(metadata!D670,"weeks"))</f>
        <v>0</v>
      </c>
      <c r="Y670">
        <f>AND(IF(metadata!E670="",FALSE,TRUE),exact(metadata!E670,"urban biome"))</f>
        <v>0</v>
      </c>
      <c r="Z670">
        <f>AND(IF(metadata!F670="",FALSE,TRUE),exact(metadata!F670,"animal-associated habitat"))</f>
        <v>0</v>
      </c>
      <c r="AA670">
        <f>AND(IF(metadata!G670="",FALSE,TRUE),exact(metadata!G670,"mouse"))</f>
        <v>0</v>
      </c>
      <c r="AB670">
        <f>AND(IF(metadata!H670="",FALSE,TRUE),exact(metadata!H670,"Mus musculus"))</f>
        <v>0</v>
      </c>
      <c r="AC670">
        <f>AND(IF(metadata!I670="",FALSE,TRUE),exact(metadata!I670,"10090"))</f>
        <v>0</v>
      </c>
      <c r="AD670">
        <f>OR(AND(IF(metadata!J670="",FALSE,TRUE),OR(exact(metadata!J670,"not applicable"),exact(metadata!J670,"missing: not collected"),exact(metadata!J670,"missing: not provided"),exact(metadata!J670,"missing: restricted access"))),AND(IF(metadata!J670="",FALSE,ISNUMBER(VALUE(metadata!J670))),metadata!J670&gt;0))</f>
        <v>0</v>
      </c>
      <c r="AE670">
        <f>AND(IF(metadata!K670="",FALSE,TRUE),exact(metadata!K670,"g"))</f>
        <v>0</v>
      </c>
    </row>
    <row r="671" spans="1:31">
      <c r="A671" s="5">
        <f>IF(B671=" "," ",HYPERLINK(CONCATENATE("#metadata!",ADDRESS(INDEX($Q$2:$Q$1001,MATCH(ROWS($O$2:O671),$O$2:$O$1001,0),0),1)),INDEX($T$2:$T$1001,MATCH(ROWS($O$2:O671),$O$2:$O$1001,0),0)))</f>
        <v>0</v>
      </c>
      <c r="B671" s="4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4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4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4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4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4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4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4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4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4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OR(AND(IF(metadata!C671="",FALSE,TRUE),OR(exact(metadata!C671,"not applicable"),exact(metadata!C671,"missing: not collected"),exact(metadata!C671,"missing: not provided"),exact(metadata!C671,"missing: restricted access"))),AND(IF(metadata!C671="",FALSE,ISNUMBER(VALUE(metadata!C671))),metadata!C671&gt;0))</f>
        <v>0</v>
      </c>
      <c r="X671">
        <f>AND(IF(metadata!D671="",FALSE,TRUE),exact(metadata!D671,"weeks"))</f>
        <v>0</v>
      </c>
      <c r="Y671">
        <f>AND(IF(metadata!E671="",FALSE,TRUE),exact(metadata!E671,"urban biome"))</f>
        <v>0</v>
      </c>
      <c r="Z671">
        <f>AND(IF(metadata!F671="",FALSE,TRUE),exact(metadata!F671,"animal-associated habitat"))</f>
        <v>0</v>
      </c>
      <c r="AA671">
        <f>AND(IF(metadata!G671="",FALSE,TRUE),exact(metadata!G671,"mouse"))</f>
        <v>0</v>
      </c>
      <c r="AB671">
        <f>AND(IF(metadata!H671="",FALSE,TRUE),exact(metadata!H671,"Mus musculus"))</f>
        <v>0</v>
      </c>
      <c r="AC671">
        <f>AND(IF(metadata!I671="",FALSE,TRUE),exact(metadata!I671,"10090"))</f>
        <v>0</v>
      </c>
      <c r="AD671">
        <f>OR(AND(IF(metadata!J671="",FALSE,TRUE),OR(exact(metadata!J671,"not applicable"),exact(metadata!J671,"missing: not collected"),exact(metadata!J671,"missing: not provided"),exact(metadata!J671,"missing: restricted access"))),AND(IF(metadata!J671="",FALSE,ISNUMBER(VALUE(metadata!J671))),metadata!J671&gt;0))</f>
        <v>0</v>
      </c>
      <c r="AE671">
        <f>AND(IF(metadata!K671="",FALSE,TRUE),exact(metadata!K671,"g"))</f>
        <v>0</v>
      </c>
    </row>
    <row r="672" spans="1:31">
      <c r="A672" s="5">
        <f>IF(B672=" "," ",HYPERLINK(CONCATENATE("#metadata!",ADDRESS(INDEX($Q$2:$Q$1001,MATCH(ROWS($O$2:O672),$O$2:$O$1001,0),0),1)),INDEX($T$2:$T$1001,MATCH(ROWS($O$2:O672),$O$2:$O$1001,0),0)))</f>
        <v>0</v>
      </c>
      <c r="B672" s="4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4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4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4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4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4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4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4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4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4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OR(AND(IF(metadata!C672="",FALSE,TRUE),OR(exact(metadata!C672,"not applicable"),exact(metadata!C672,"missing: not collected"),exact(metadata!C672,"missing: not provided"),exact(metadata!C672,"missing: restricted access"))),AND(IF(metadata!C672="",FALSE,ISNUMBER(VALUE(metadata!C672))),metadata!C672&gt;0))</f>
        <v>0</v>
      </c>
      <c r="X672">
        <f>AND(IF(metadata!D672="",FALSE,TRUE),exact(metadata!D672,"weeks"))</f>
        <v>0</v>
      </c>
      <c r="Y672">
        <f>AND(IF(metadata!E672="",FALSE,TRUE),exact(metadata!E672,"urban biome"))</f>
        <v>0</v>
      </c>
      <c r="Z672">
        <f>AND(IF(metadata!F672="",FALSE,TRUE),exact(metadata!F672,"animal-associated habitat"))</f>
        <v>0</v>
      </c>
      <c r="AA672">
        <f>AND(IF(metadata!G672="",FALSE,TRUE),exact(metadata!G672,"mouse"))</f>
        <v>0</v>
      </c>
      <c r="AB672">
        <f>AND(IF(metadata!H672="",FALSE,TRUE),exact(metadata!H672,"Mus musculus"))</f>
        <v>0</v>
      </c>
      <c r="AC672">
        <f>AND(IF(metadata!I672="",FALSE,TRUE),exact(metadata!I672,"10090"))</f>
        <v>0</v>
      </c>
      <c r="AD672">
        <f>OR(AND(IF(metadata!J672="",FALSE,TRUE),OR(exact(metadata!J672,"not applicable"),exact(metadata!J672,"missing: not collected"),exact(metadata!J672,"missing: not provided"),exact(metadata!J672,"missing: restricted access"))),AND(IF(metadata!J672="",FALSE,ISNUMBER(VALUE(metadata!J672))),metadata!J672&gt;0))</f>
        <v>0</v>
      </c>
      <c r="AE672">
        <f>AND(IF(metadata!K672="",FALSE,TRUE),exact(metadata!K672,"g"))</f>
        <v>0</v>
      </c>
    </row>
    <row r="673" spans="1:31">
      <c r="A673" s="5">
        <f>IF(B673=" "," ",HYPERLINK(CONCATENATE("#metadata!",ADDRESS(INDEX($Q$2:$Q$1001,MATCH(ROWS($O$2:O673),$O$2:$O$1001,0),0),1)),INDEX($T$2:$T$1001,MATCH(ROWS($O$2:O673),$O$2:$O$1001,0),0)))</f>
        <v>0</v>
      </c>
      <c r="B673" s="4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4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4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4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4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4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4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4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4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4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OR(AND(IF(metadata!C673="",FALSE,TRUE),OR(exact(metadata!C673,"not applicable"),exact(metadata!C673,"missing: not collected"),exact(metadata!C673,"missing: not provided"),exact(metadata!C673,"missing: restricted access"))),AND(IF(metadata!C673="",FALSE,ISNUMBER(VALUE(metadata!C673))),metadata!C673&gt;0))</f>
        <v>0</v>
      </c>
      <c r="X673">
        <f>AND(IF(metadata!D673="",FALSE,TRUE),exact(metadata!D673,"weeks"))</f>
        <v>0</v>
      </c>
      <c r="Y673">
        <f>AND(IF(metadata!E673="",FALSE,TRUE),exact(metadata!E673,"urban biome"))</f>
        <v>0</v>
      </c>
      <c r="Z673">
        <f>AND(IF(metadata!F673="",FALSE,TRUE),exact(metadata!F673,"animal-associated habitat"))</f>
        <v>0</v>
      </c>
      <c r="AA673">
        <f>AND(IF(metadata!G673="",FALSE,TRUE),exact(metadata!G673,"mouse"))</f>
        <v>0</v>
      </c>
      <c r="AB673">
        <f>AND(IF(metadata!H673="",FALSE,TRUE),exact(metadata!H673,"Mus musculus"))</f>
        <v>0</v>
      </c>
      <c r="AC673">
        <f>AND(IF(metadata!I673="",FALSE,TRUE),exact(metadata!I673,"10090"))</f>
        <v>0</v>
      </c>
      <c r="AD673">
        <f>OR(AND(IF(metadata!J673="",FALSE,TRUE),OR(exact(metadata!J673,"not applicable"),exact(metadata!J673,"missing: not collected"),exact(metadata!J673,"missing: not provided"),exact(metadata!J673,"missing: restricted access"))),AND(IF(metadata!J673="",FALSE,ISNUMBER(VALUE(metadata!J673))),metadata!J673&gt;0))</f>
        <v>0</v>
      </c>
      <c r="AE673">
        <f>AND(IF(metadata!K673="",FALSE,TRUE),exact(metadata!K673,"g"))</f>
        <v>0</v>
      </c>
    </row>
    <row r="674" spans="1:31">
      <c r="A674" s="5">
        <f>IF(B674=" "," ",HYPERLINK(CONCATENATE("#metadata!",ADDRESS(INDEX($Q$2:$Q$1001,MATCH(ROWS($O$2:O674),$O$2:$O$1001,0),0),1)),INDEX($T$2:$T$1001,MATCH(ROWS($O$2:O674),$O$2:$O$1001,0),0)))</f>
        <v>0</v>
      </c>
      <c r="B674" s="4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4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4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4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4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4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4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4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4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4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OR(AND(IF(metadata!C674="",FALSE,TRUE),OR(exact(metadata!C674,"not applicable"),exact(metadata!C674,"missing: not collected"),exact(metadata!C674,"missing: not provided"),exact(metadata!C674,"missing: restricted access"))),AND(IF(metadata!C674="",FALSE,ISNUMBER(VALUE(metadata!C674))),metadata!C674&gt;0))</f>
        <v>0</v>
      </c>
      <c r="X674">
        <f>AND(IF(metadata!D674="",FALSE,TRUE),exact(metadata!D674,"weeks"))</f>
        <v>0</v>
      </c>
      <c r="Y674">
        <f>AND(IF(metadata!E674="",FALSE,TRUE),exact(metadata!E674,"urban biome"))</f>
        <v>0</v>
      </c>
      <c r="Z674">
        <f>AND(IF(metadata!F674="",FALSE,TRUE),exact(metadata!F674,"animal-associated habitat"))</f>
        <v>0</v>
      </c>
      <c r="AA674">
        <f>AND(IF(metadata!G674="",FALSE,TRUE),exact(metadata!G674,"mouse"))</f>
        <v>0</v>
      </c>
      <c r="AB674">
        <f>AND(IF(metadata!H674="",FALSE,TRUE),exact(metadata!H674,"Mus musculus"))</f>
        <v>0</v>
      </c>
      <c r="AC674">
        <f>AND(IF(metadata!I674="",FALSE,TRUE),exact(metadata!I674,"10090"))</f>
        <v>0</v>
      </c>
      <c r="AD674">
        <f>OR(AND(IF(metadata!J674="",FALSE,TRUE),OR(exact(metadata!J674,"not applicable"),exact(metadata!J674,"missing: not collected"),exact(metadata!J674,"missing: not provided"),exact(metadata!J674,"missing: restricted access"))),AND(IF(metadata!J674="",FALSE,ISNUMBER(VALUE(metadata!J674))),metadata!J674&gt;0))</f>
        <v>0</v>
      </c>
      <c r="AE674">
        <f>AND(IF(metadata!K674="",FALSE,TRUE),exact(metadata!K674,"g"))</f>
        <v>0</v>
      </c>
    </row>
    <row r="675" spans="1:31">
      <c r="A675" s="5">
        <f>IF(B675=" "," ",HYPERLINK(CONCATENATE("#metadata!",ADDRESS(INDEX($Q$2:$Q$1001,MATCH(ROWS($O$2:O675),$O$2:$O$1001,0),0),1)),INDEX($T$2:$T$1001,MATCH(ROWS($O$2:O675),$O$2:$O$1001,0),0)))</f>
        <v>0</v>
      </c>
      <c r="B675" s="4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4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4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4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4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4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4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4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4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4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OR(AND(IF(metadata!C675="",FALSE,TRUE),OR(exact(metadata!C675,"not applicable"),exact(metadata!C675,"missing: not collected"),exact(metadata!C675,"missing: not provided"),exact(metadata!C675,"missing: restricted access"))),AND(IF(metadata!C675="",FALSE,ISNUMBER(VALUE(metadata!C675))),metadata!C675&gt;0))</f>
        <v>0</v>
      </c>
      <c r="X675">
        <f>AND(IF(metadata!D675="",FALSE,TRUE),exact(metadata!D675,"weeks"))</f>
        <v>0</v>
      </c>
      <c r="Y675">
        <f>AND(IF(metadata!E675="",FALSE,TRUE),exact(metadata!E675,"urban biome"))</f>
        <v>0</v>
      </c>
      <c r="Z675">
        <f>AND(IF(metadata!F675="",FALSE,TRUE),exact(metadata!F675,"animal-associated habitat"))</f>
        <v>0</v>
      </c>
      <c r="AA675">
        <f>AND(IF(metadata!G675="",FALSE,TRUE),exact(metadata!G675,"mouse"))</f>
        <v>0</v>
      </c>
      <c r="AB675">
        <f>AND(IF(metadata!H675="",FALSE,TRUE),exact(metadata!H675,"Mus musculus"))</f>
        <v>0</v>
      </c>
      <c r="AC675">
        <f>AND(IF(metadata!I675="",FALSE,TRUE),exact(metadata!I675,"10090"))</f>
        <v>0</v>
      </c>
      <c r="AD675">
        <f>OR(AND(IF(metadata!J675="",FALSE,TRUE),OR(exact(metadata!J675,"not applicable"),exact(metadata!J675,"missing: not collected"),exact(metadata!J675,"missing: not provided"),exact(metadata!J675,"missing: restricted access"))),AND(IF(metadata!J675="",FALSE,ISNUMBER(VALUE(metadata!J675))),metadata!J675&gt;0))</f>
        <v>0</v>
      </c>
      <c r="AE675">
        <f>AND(IF(metadata!K675="",FALSE,TRUE),exact(metadata!K675,"g"))</f>
        <v>0</v>
      </c>
    </row>
    <row r="676" spans="1:31">
      <c r="A676" s="5">
        <f>IF(B676=" "," ",HYPERLINK(CONCATENATE("#metadata!",ADDRESS(INDEX($Q$2:$Q$1001,MATCH(ROWS($O$2:O676),$O$2:$O$1001,0),0),1)),INDEX($T$2:$T$1001,MATCH(ROWS($O$2:O676),$O$2:$O$1001,0),0)))</f>
        <v>0</v>
      </c>
      <c r="B676" s="4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4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4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4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4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4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4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4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4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4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OR(AND(IF(metadata!C676="",FALSE,TRUE),OR(exact(metadata!C676,"not applicable"),exact(metadata!C676,"missing: not collected"),exact(metadata!C676,"missing: not provided"),exact(metadata!C676,"missing: restricted access"))),AND(IF(metadata!C676="",FALSE,ISNUMBER(VALUE(metadata!C676))),metadata!C676&gt;0))</f>
        <v>0</v>
      </c>
      <c r="X676">
        <f>AND(IF(metadata!D676="",FALSE,TRUE),exact(metadata!D676,"weeks"))</f>
        <v>0</v>
      </c>
      <c r="Y676">
        <f>AND(IF(metadata!E676="",FALSE,TRUE),exact(metadata!E676,"urban biome"))</f>
        <v>0</v>
      </c>
      <c r="Z676">
        <f>AND(IF(metadata!F676="",FALSE,TRUE),exact(metadata!F676,"animal-associated habitat"))</f>
        <v>0</v>
      </c>
      <c r="AA676">
        <f>AND(IF(metadata!G676="",FALSE,TRUE),exact(metadata!G676,"mouse"))</f>
        <v>0</v>
      </c>
      <c r="AB676">
        <f>AND(IF(metadata!H676="",FALSE,TRUE),exact(metadata!H676,"Mus musculus"))</f>
        <v>0</v>
      </c>
      <c r="AC676">
        <f>AND(IF(metadata!I676="",FALSE,TRUE),exact(metadata!I676,"10090"))</f>
        <v>0</v>
      </c>
      <c r="AD676">
        <f>OR(AND(IF(metadata!J676="",FALSE,TRUE),OR(exact(metadata!J676,"not applicable"),exact(metadata!J676,"missing: not collected"),exact(metadata!J676,"missing: not provided"),exact(metadata!J676,"missing: restricted access"))),AND(IF(metadata!J676="",FALSE,ISNUMBER(VALUE(metadata!J676))),metadata!J676&gt;0))</f>
        <v>0</v>
      </c>
      <c r="AE676">
        <f>AND(IF(metadata!K676="",FALSE,TRUE),exact(metadata!K676,"g"))</f>
        <v>0</v>
      </c>
    </row>
    <row r="677" spans="1:31">
      <c r="A677" s="5">
        <f>IF(B677=" "," ",HYPERLINK(CONCATENATE("#metadata!",ADDRESS(INDEX($Q$2:$Q$1001,MATCH(ROWS($O$2:O677),$O$2:$O$1001,0),0),1)),INDEX($T$2:$T$1001,MATCH(ROWS($O$2:O677),$O$2:$O$1001,0),0)))</f>
        <v>0</v>
      </c>
      <c r="B677" s="4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4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4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4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4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4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4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4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4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4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OR(AND(IF(metadata!C677="",FALSE,TRUE),OR(exact(metadata!C677,"not applicable"),exact(metadata!C677,"missing: not collected"),exact(metadata!C677,"missing: not provided"),exact(metadata!C677,"missing: restricted access"))),AND(IF(metadata!C677="",FALSE,ISNUMBER(VALUE(metadata!C677))),metadata!C677&gt;0))</f>
        <v>0</v>
      </c>
      <c r="X677">
        <f>AND(IF(metadata!D677="",FALSE,TRUE),exact(metadata!D677,"weeks"))</f>
        <v>0</v>
      </c>
      <c r="Y677">
        <f>AND(IF(metadata!E677="",FALSE,TRUE),exact(metadata!E677,"urban biome"))</f>
        <v>0</v>
      </c>
      <c r="Z677">
        <f>AND(IF(metadata!F677="",FALSE,TRUE),exact(metadata!F677,"animal-associated habitat"))</f>
        <v>0</v>
      </c>
      <c r="AA677">
        <f>AND(IF(metadata!G677="",FALSE,TRUE),exact(metadata!G677,"mouse"))</f>
        <v>0</v>
      </c>
      <c r="AB677">
        <f>AND(IF(metadata!H677="",FALSE,TRUE),exact(metadata!H677,"Mus musculus"))</f>
        <v>0</v>
      </c>
      <c r="AC677">
        <f>AND(IF(metadata!I677="",FALSE,TRUE),exact(metadata!I677,"10090"))</f>
        <v>0</v>
      </c>
      <c r="AD677">
        <f>OR(AND(IF(metadata!J677="",FALSE,TRUE),OR(exact(metadata!J677,"not applicable"),exact(metadata!J677,"missing: not collected"),exact(metadata!J677,"missing: not provided"),exact(metadata!J677,"missing: restricted access"))),AND(IF(metadata!J677="",FALSE,ISNUMBER(VALUE(metadata!J677))),metadata!J677&gt;0))</f>
        <v>0</v>
      </c>
      <c r="AE677">
        <f>AND(IF(metadata!K677="",FALSE,TRUE),exact(metadata!K677,"g"))</f>
        <v>0</v>
      </c>
    </row>
    <row r="678" spans="1:31">
      <c r="A678" s="5">
        <f>IF(B678=" "," ",HYPERLINK(CONCATENATE("#metadata!",ADDRESS(INDEX($Q$2:$Q$1001,MATCH(ROWS($O$2:O678),$O$2:$O$1001,0),0),1)),INDEX($T$2:$T$1001,MATCH(ROWS($O$2:O678),$O$2:$O$1001,0),0)))</f>
        <v>0</v>
      </c>
      <c r="B678" s="4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4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4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4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4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4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4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4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4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4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OR(AND(IF(metadata!C678="",FALSE,TRUE),OR(exact(metadata!C678,"not applicable"),exact(metadata!C678,"missing: not collected"),exact(metadata!C678,"missing: not provided"),exact(metadata!C678,"missing: restricted access"))),AND(IF(metadata!C678="",FALSE,ISNUMBER(VALUE(metadata!C678))),metadata!C678&gt;0))</f>
        <v>0</v>
      </c>
      <c r="X678">
        <f>AND(IF(metadata!D678="",FALSE,TRUE),exact(metadata!D678,"weeks"))</f>
        <v>0</v>
      </c>
      <c r="Y678">
        <f>AND(IF(metadata!E678="",FALSE,TRUE),exact(metadata!E678,"urban biome"))</f>
        <v>0</v>
      </c>
      <c r="Z678">
        <f>AND(IF(metadata!F678="",FALSE,TRUE),exact(metadata!F678,"animal-associated habitat"))</f>
        <v>0</v>
      </c>
      <c r="AA678">
        <f>AND(IF(metadata!G678="",FALSE,TRUE),exact(metadata!G678,"mouse"))</f>
        <v>0</v>
      </c>
      <c r="AB678">
        <f>AND(IF(metadata!H678="",FALSE,TRUE),exact(metadata!H678,"Mus musculus"))</f>
        <v>0</v>
      </c>
      <c r="AC678">
        <f>AND(IF(metadata!I678="",FALSE,TRUE),exact(metadata!I678,"10090"))</f>
        <v>0</v>
      </c>
      <c r="AD678">
        <f>OR(AND(IF(metadata!J678="",FALSE,TRUE),OR(exact(metadata!J678,"not applicable"),exact(metadata!J678,"missing: not collected"),exact(metadata!J678,"missing: not provided"),exact(metadata!J678,"missing: restricted access"))),AND(IF(metadata!J678="",FALSE,ISNUMBER(VALUE(metadata!J678))),metadata!J678&gt;0))</f>
        <v>0</v>
      </c>
      <c r="AE678">
        <f>AND(IF(metadata!K678="",FALSE,TRUE),exact(metadata!K678,"g"))</f>
        <v>0</v>
      </c>
    </row>
    <row r="679" spans="1:31">
      <c r="A679" s="5">
        <f>IF(B679=" "," ",HYPERLINK(CONCATENATE("#metadata!",ADDRESS(INDEX($Q$2:$Q$1001,MATCH(ROWS($O$2:O679),$O$2:$O$1001,0),0),1)),INDEX($T$2:$T$1001,MATCH(ROWS($O$2:O679),$O$2:$O$1001,0),0)))</f>
        <v>0</v>
      </c>
      <c r="B679" s="4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4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4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4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4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4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4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4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4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4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OR(AND(IF(metadata!C679="",FALSE,TRUE),OR(exact(metadata!C679,"not applicable"),exact(metadata!C679,"missing: not collected"),exact(metadata!C679,"missing: not provided"),exact(metadata!C679,"missing: restricted access"))),AND(IF(metadata!C679="",FALSE,ISNUMBER(VALUE(metadata!C679))),metadata!C679&gt;0))</f>
        <v>0</v>
      </c>
      <c r="X679">
        <f>AND(IF(metadata!D679="",FALSE,TRUE),exact(metadata!D679,"weeks"))</f>
        <v>0</v>
      </c>
      <c r="Y679">
        <f>AND(IF(metadata!E679="",FALSE,TRUE),exact(metadata!E679,"urban biome"))</f>
        <v>0</v>
      </c>
      <c r="Z679">
        <f>AND(IF(metadata!F679="",FALSE,TRUE),exact(metadata!F679,"animal-associated habitat"))</f>
        <v>0</v>
      </c>
      <c r="AA679">
        <f>AND(IF(metadata!G679="",FALSE,TRUE),exact(metadata!G679,"mouse"))</f>
        <v>0</v>
      </c>
      <c r="AB679">
        <f>AND(IF(metadata!H679="",FALSE,TRUE),exact(metadata!H679,"Mus musculus"))</f>
        <v>0</v>
      </c>
      <c r="AC679">
        <f>AND(IF(metadata!I679="",FALSE,TRUE),exact(metadata!I679,"10090"))</f>
        <v>0</v>
      </c>
      <c r="AD679">
        <f>OR(AND(IF(metadata!J679="",FALSE,TRUE),OR(exact(metadata!J679,"not applicable"),exact(metadata!J679,"missing: not collected"),exact(metadata!J679,"missing: not provided"),exact(metadata!J679,"missing: restricted access"))),AND(IF(metadata!J679="",FALSE,ISNUMBER(VALUE(metadata!J679))),metadata!J679&gt;0))</f>
        <v>0</v>
      </c>
      <c r="AE679">
        <f>AND(IF(metadata!K679="",FALSE,TRUE),exact(metadata!K679,"g"))</f>
        <v>0</v>
      </c>
    </row>
    <row r="680" spans="1:31">
      <c r="A680" s="5">
        <f>IF(B680=" "," ",HYPERLINK(CONCATENATE("#metadata!",ADDRESS(INDEX($Q$2:$Q$1001,MATCH(ROWS($O$2:O680),$O$2:$O$1001,0),0),1)),INDEX($T$2:$T$1001,MATCH(ROWS($O$2:O680),$O$2:$O$1001,0),0)))</f>
        <v>0</v>
      </c>
      <c r="B680" s="4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4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4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4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4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4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4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4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4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4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OR(AND(IF(metadata!C680="",FALSE,TRUE),OR(exact(metadata!C680,"not applicable"),exact(metadata!C680,"missing: not collected"),exact(metadata!C680,"missing: not provided"),exact(metadata!C680,"missing: restricted access"))),AND(IF(metadata!C680="",FALSE,ISNUMBER(VALUE(metadata!C680))),metadata!C680&gt;0))</f>
        <v>0</v>
      </c>
      <c r="X680">
        <f>AND(IF(metadata!D680="",FALSE,TRUE),exact(metadata!D680,"weeks"))</f>
        <v>0</v>
      </c>
      <c r="Y680">
        <f>AND(IF(metadata!E680="",FALSE,TRUE),exact(metadata!E680,"urban biome"))</f>
        <v>0</v>
      </c>
      <c r="Z680">
        <f>AND(IF(metadata!F680="",FALSE,TRUE),exact(metadata!F680,"animal-associated habitat"))</f>
        <v>0</v>
      </c>
      <c r="AA680">
        <f>AND(IF(metadata!G680="",FALSE,TRUE),exact(metadata!G680,"mouse"))</f>
        <v>0</v>
      </c>
      <c r="AB680">
        <f>AND(IF(metadata!H680="",FALSE,TRUE),exact(metadata!H680,"Mus musculus"))</f>
        <v>0</v>
      </c>
      <c r="AC680">
        <f>AND(IF(metadata!I680="",FALSE,TRUE),exact(metadata!I680,"10090"))</f>
        <v>0</v>
      </c>
      <c r="AD680">
        <f>OR(AND(IF(metadata!J680="",FALSE,TRUE),OR(exact(metadata!J680,"not applicable"),exact(metadata!J680,"missing: not collected"),exact(metadata!J680,"missing: not provided"),exact(metadata!J680,"missing: restricted access"))),AND(IF(metadata!J680="",FALSE,ISNUMBER(VALUE(metadata!J680))),metadata!J680&gt;0))</f>
        <v>0</v>
      </c>
      <c r="AE680">
        <f>AND(IF(metadata!K680="",FALSE,TRUE),exact(metadata!K680,"g"))</f>
        <v>0</v>
      </c>
    </row>
    <row r="681" spans="1:31">
      <c r="A681" s="5">
        <f>IF(B681=" "," ",HYPERLINK(CONCATENATE("#metadata!",ADDRESS(INDEX($Q$2:$Q$1001,MATCH(ROWS($O$2:O681),$O$2:$O$1001,0),0),1)),INDEX($T$2:$T$1001,MATCH(ROWS($O$2:O681),$O$2:$O$1001,0),0)))</f>
        <v>0</v>
      </c>
      <c r="B681" s="4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4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4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4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4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4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4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4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4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4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OR(AND(IF(metadata!C681="",FALSE,TRUE),OR(exact(metadata!C681,"not applicable"),exact(metadata!C681,"missing: not collected"),exact(metadata!C681,"missing: not provided"),exact(metadata!C681,"missing: restricted access"))),AND(IF(metadata!C681="",FALSE,ISNUMBER(VALUE(metadata!C681))),metadata!C681&gt;0))</f>
        <v>0</v>
      </c>
      <c r="X681">
        <f>AND(IF(metadata!D681="",FALSE,TRUE),exact(metadata!D681,"weeks"))</f>
        <v>0</v>
      </c>
      <c r="Y681">
        <f>AND(IF(metadata!E681="",FALSE,TRUE),exact(metadata!E681,"urban biome"))</f>
        <v>0</v>
      </c>
      <c r="Z681">
        <f>AND(IF(metadata!F681="",FALSE,TRUE),exact(metadata!F681,"animal-associated habitat"))</f>
        <v>0</v>
      </c>
      <c r="AA681">
        <f>AND(IF(metadata!G681="",FALSE,TRUE),exact(metadata!G681,"mouse"))</f>
        <v>0</v>
      </c>
      <c r="AB681">
        <f>AND(IF(metadata!H681="",FALSE,TRUE),exact(metadata!H681,"Mus musculus"))</f>
        <v>0</v>
      </c>
      <c r="AC681">
        <f>AND(IF(metadata!I681="",FALSE,TRUE),exact(metadata!I681,"10090"))</f>
        <v>0</v>
      </c>
      <c r="AD681">
        <f>OR(AND(IF(metadata!J681="",FALSE,TRUE),OR(exact(metadata!J681,"not applicable"),exact(metadata!J681,"missing: not collected"),exact(metadata!J681,"missing: not provided"),exact(metadata!J681,"missing: restricted access"))),AND(IF(metadata!J681="",FALSE,ISNUMBER(VALUE(metadata!J681))),metadata!J681&gt;0))</f>
        <v>0</v>
      </c>
      <c r="AE681">
        <f>AND(IF(metadata!K681="",FALSE,TRUE),exact(metadata!K681,"g"))</f>
        <v>0</v>
      </c>
    </row>
    <row r="682" spans="1:31">
      <c r="A682" s="5">
        <f>IF(B682=" "," ",HYPERLINK(CONCATENATE("#metadata!",ADDRESS(INDEX($Q$2:$Q$1001,MATCH(ROWS($O$2:O682),$O$2:$O$1001,0),0),1)),INDEX($T$2:$T$1001,MATCH(ROWS($O$2:O682),$O$2:$O$1001,0),0)))</f>
        <v>0</v>
      </c>
      <c r="B682" s="4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4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4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4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4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4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4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4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4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4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OR(AND(IF(metadata!C682="",FALSE,TRUE),OR(exact(metadata!C682,"not applicable"),exact(metadata!C682,"missing: not collected"),exact(metadata!C682,"missing: not provided"),exact(metadata!C682,"missing: restricted access"))),AND(IF(metadata!C682="",FALSE,ISNUMBER(VALUE(metadata!C682))),metadata!C682&gt;0))</f>
        <v>0</v>
      </c>
      <c r="X682">
        <f>AND(IF(metadata!D682="",FALSE,TRUE),exact(metadata!D682,"weeks"))</f>
        <v>0</v>
      </c>
      <c r="Y682">
        <f>AND(IF(metadata!E682="",FALSE,TRUE),exact(metadata!E682,"urban biome"))</f>
        <v>0</v>
      </c>
      <c r="Z682">
        <f>AND(IF(metadata!F682="",FALSE,TRUE),exact(metadata!F682,"animal-associated habitat"))</f>
        <v>0</v>
      </c>
      <c r="AA682">
        <f>AND(IF(metadata!G682="",FALSE,TRUE),exact(metadata!G682,"mouse"))</f>
        <v>0</v>
      </c>
      <c r="AB682">
        <f>AND(IF(metadata!H682="",FALSE,TRUE),exact(metadata!H682,"Mus musculus"))</f>
        <v>0</v>
      </c>
      <c r="AC682">
        <f>AND(IF(metadata!I682="",FALSE,TRUE),exact(metadata!I682,"10090"))</f>
        <v>0</v>
      </c>
      <c r="AD682">
        <f>OR(AND(IF(metadata!J682="",FALSE,TRUE),OR(exact(metadata!J682,"not applicable"),exact(metadata!J682,"missing: not collected"),exact(metadata!J682,"missing: not provided"),exact(metadata!J682,"missing: restricted access"))),AND(IF(metadata!J682="",FALSE,ISNUMBER(VALUE(metadata!J682))),metadata!J682&gt;0))</f>
        <v>0</v>
      </c>
      <c r="AE682">
        <f>AND(IF(metadata!K682="",FALSE,TRUE),exact(metadata!K682,"g"))</f>
        <v>0</v>
      </c>
    </row>
    <row r="683" spans="1:31">
      <c r="A683" s="5">
        <f>IF(B683=" "," ",HYPERLINK(CONCATENATE("#metadata!",ADDRESS(INDEX($Q$2:$Q$1001,MATCH(ROWS($O$2:O683),$O$2:$O$1001,0),0),1)),INDEX($T$2:$T$1001,MATCH(ROWS($O$2:O683),$O$2:$O$1001,0),0)))</f>
        <v>0</v>
      </c>
      <c r="B683" s="4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4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4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4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4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4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4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4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4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4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OR(AND(IF(metadata!C683="",FALSE,TRUE),OR(exact(metadata!C683,"not applicable"),exact(metadata!C683,"missing: not collected"),exact(metadata!C683,"missing: not provided"),exact(metadata!C683,"missing: restricted access"))),AND(IF(metadata!C683="",FALSE,ISNUMBER(VALUE(metadata!C683))),metadata!C683&gt;0))</f>
        <v>0</v>
      </c>
      <c r="X683">
        <f>AND(IF(metadata!D683="",FALSE,TRUE),exact(metadata!D683,"weeks"))</f>
        <v>0</v>
      </c>
      <c r="Y683">
        <f>AND(IF(metadata!E683="",FALSE,TRUE),exact(metadata!E683,"urban biome"))</f>
        <v>0</v>
      </c>
      <c r="Z683">
        <f>AND(IF(metadata!F683="",FALSE,TRUE),exact(metadata!F683,"animal-associated habitat"))</f>
        <v>0</v>
      </c>
      <c r="AA683">
        <f>AND(IF(metadata!G683="",FALSE,TRUE),exact(metadata!G683,"mouse"))</f>
        <v>0</v>
      </c>
      <c r="AB683">
        <f>AND(IF(metadata!H683="",FALSE,TRUE),exact(metadata!H683,"Mus musculus"))</f>
        <v>0</v>
      </c>
      <c r="AC683">
        <f>AND(IF(metadata!I683="",FALSE,TRUE),exact(metadata!I683,"10090"))</f>
        <v>0</v>
      </c>
      <c r="AD683">
        <f>OR(AND(IF(metadata!J683="",FALSE,TRUE),OR(exact(metadata!J683,"not applicable"),exact(metadata!J683,"missing: not collected"),exact(metadata!J683,"missing: not provided"),exact(metadata!J683,"missing: restricted access"))),AND(IF(metadata!J683="",FALSE,ISNUMBER(VALUE(metadata!J683))),metadata!J683&gt;0))</f>
        <v>0</v>
      </c>
      <c r="AE683">
        <f>AND(IF(metadata!K683="",FALSE,TRUE),exact(metadata!K683,"g"))</f>
        <v>0</v>
      </c>
    </row>
    <row r="684" spans="1:31">
      <c r="A684" s="5">
        <f>IF(B684=" "," ",HYPERLINK(CONCATENATE("#metadata!",ADDRESS(INDEX($Q$2:$Q$1001,MATCH(ROWS($O$2:O684),$O$2:$O$1001,0),0),1)),INDEX($T$2:$T$1001,MATCH(ROWS($O$2:O684),$O$2:$O$1001,0),0)))</f>
        <v>0</v>
      </c>
      <c r="B684" s="4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4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4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4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4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4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4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4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4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4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OR(AND(IF(metadata!C684="",FALSE,TRUE),OR(exact(metadata!C684,"not applicable"),exact(metadata!C684,"missing: not collected"),exact(metadata!C684,"missing: not provided"),exact(metadata!C684,"missing: restricted access"))),AND(IF(metadata!C684="",FALSE,ISNUMBER(VALUE(metadata!C684))),metadata!C684&gt;0))</f>
        <v>0</v>
      </c>
      <c r="X684">
        <f>AND(IF(metadata!D684="",FALSE,TRUE),exact(metadata!D684,"weeks"))</f>
        <v>0</v>
      </c>
      <c r="Y684">
        <f>AND(IF(metadata!E684="",FALSE,TRUE),exact(metadata!E684,"urban biome"))</f>
        <v>0</v>
      </c>
      <c r="Z684">
        <f>AND(IF(metadata!F684="",FALSE,TRUE),exact(metadata!F684,"animal-associated habitat"))</f>
        <v>0</v>
      </c>
      <c r="AA684">
        <f>AND(IF(metadata!G684="",FALSE,TRUE),exact(metadata!G684,"mouse"))</f>
        <v>0</v>
      </c>
      <c r="AB684">
        <f>AND(IF(metadata!H684="",FALSE,TRUE),exact(metadata!H684,"Mus musculus"))</f>
        <v>0</v>
      </c>
      <c r="AC684">
        <f>AND(IF(metadata!I684="",FALSE,TRUE),exact(metadata!I684,"10090"))</f>
        <v>0</v>
      </c>
      <c r="AD684">
        <f>OR(AND(IF(metadata!J684="",FALSE,TRUE),OR(exact(metadata!J684,"not applicable"),exact(metadata!J684,"missing: not collected"),exact(metadata!J684,"missing: not provided"),exact(metadata!J684,"missing: restricted access"))),AND(IF(metadata!J684="",FALSE,ISNUMBER(VALUE(metadata!J684))),metadata!J684&gt;0))</f>
        <v>0</v>
      </c>
      <c r="AE684">
        <f>AND(IF(metadata!K684="",FALSE,TRUE),exact(metadata!K684,"g"))</f>
        <v>0</v>
      </c>
    </row>
    <row r="685" spans="1:31">
      <c r="A685" s="5">
        <f>IF(B685=" "," ",HYPERLINK(CONCATENATE("#metadata!",ADDRESS(INDEX($Q$2:$Q$1001,MATCH(ROWS($O$2:O685),$O$2:$O$1001,0),0),1)),INDEX($T$2:$T$1001,MATCH(ROWS($O$2:O685),$O$2:$O$1001,0),0)))</f>
        <v>0</v>
      </c>
      <c r="B685" s="4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4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4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4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4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4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4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4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4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4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OR(AND(IF(metadata!C685="",FALSE,TRUE),OR(exact(metadata!C685,"not applicable"),exact(metadata!C685,"missing: not collected"),exact(metadata!C685,"missing: not provided"),exact(metadata!C685,"missing: restricted access"))),AND(IF(metadata!C685="",FALSE,ISNUMBER(VALUE(metadata!C685))),metadata!C685&gt;0))</f>
        <v>0</v>
      </c>
      <c r="X685">
        <f>AND(IF(metadata!D685="",FALSE,TRUE),exact(metadata!D685,"weeks"))</f>
        <v>0</v>
      </c>
      <c r="Y685">
        <f>AND(IF(metadata!E685="",FALSE,TRUE),exact(metadata!E685,"urban biome"))</f>
        <v>0</v>
      </c>
      <c r="Z685">
        <f>AND(IF(metadata!F685="",FALSE,TRUE),exact(metadata!F685,"animal-associated habitat"))</f>
        <v>0</v>
      </c>
      <c r="AA685">
        <f>AND(IF(metadata!G685="",FALSE,TRUE),exact(metadata!G685,"mouse"))</f>
        <v>0</v>
      </c>
      <c r="AB685">
        <f>AND(IF(metadata!H685="",FALSE,TRUE),exact(metadata!H685,"Mus musculus"))</f>
        <v>0</v>
      </c>
      <c r="AC685">
        <f>AND(IF(metadata!I685="",FALSE,TRUE),exact(metadata!I685,"10090"))</f>
        <v>0</v>
      </c>
      <c r="AD685">
        <f>OR(AND(IF(metadata!J685="",FALSE,TRUE),OR(exact(metadata!J685,"not applicable"),exact(metadata!J685,"missing: not collected"),exact(metadata!J685,"missing: not provided"),exact(metadata!J685,"missing: restricted access"))),AND(IF(metadata!J685="",FALSE,ISNUMBER(VALUE(metadata!J685))),metadata!J685&gt;0))</f>
        <v>0</v>
      </c>
      <c r="AE685">
        <f>AND(IF(metadata!K685="",FALSE,TRUE),exact(metadata!K685,"g"))</f>
        <v>0</v>
      </c>
    </row>
    <row r="686" spans="1:31">
      <c r="A686" s="5">
        <f>IF(B686=" "," ",HYPERLINK(CONCATENATE("#metadata!",ADDRESS(INDEX($Q$2:$Q$1001,MATCH(ROWS($O$2:O686),$O$2:$O$1001,0),0),1)),INDEX($T$2:$T$1001,MATCH(ROWS($O$2:O686),$O$2:$O$1001,0),0)))</f>
        <v>0</v>
      </c>
      <c r="B686" s="4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4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4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4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4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4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4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4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4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4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OR(AND(IF(metadata!C686="",FALSE,TRUE),OR(exact(metadata!C686,"not applicable"),exact(metadata!C686,"missing: not collected"),exact(metadata!C686,"missing: not provided"),exact(metadata!C686,"missing: restricted access"))),AND(IF(metadata!C686="",FALSE,ISNUMBER(VALUE(metadata!C686))),metadata!C686&gt;0))</f>
        <v>0</v>
      </c>
      <c r="X686">
        <f>AND(IF(metadata!D686="",FALSE,TRUE),exact(metadata!D686,"weeks"))</f>
        <v>0</v>
      </c>
      <c r="Y686">
        <f>AND(IF(metadata!E686="",FALSE,TRUE),exact(metadata!E686,"urban biome"))</f>
        <v>0</v>
      </c>
      <c r="Z686">
        <f>AND(IF(metadata!F686="",FALSE,TRUE),exact(metadata!F686,"animal-associated habitat"))</f>
        <v>0</v>
      </c>
      <c r="AA686">
        <f>AND(IF(metadata!G686="",FALSE,TRUE),exact(metadata!G686,"mouse"))</f>
        <v>0</v>
      </c>
      <c r="AB686">
        <f>AND(IF(metadata!H686="",FALSE,TRUE),exact(metadata!H686,"Mus musculus"))</f>
        <v>0</v>
      </c>
      <c r="AC686">
        <f>AND(IF(metadata!I686="",FALSE,TRUE),exact(metadata!I686,"10090"))</f>
        <v>0</v>
      </c>
      <c r="AD686">
        <f>OR(AND(IF(metadata!J686="",FALSE,TRUE),OR(exact(metadata!J686,"not applicable"),exact(metadata!J686,"missing: not collected"),exact(metadata!J686,"missing: not provided"),exact(metadata!J686,"missing: restricted access"))),AND(IF(metadata!J686="",FALSE,ISNUMBER(VALUE(metadata!J686))),metadata!J686&gt;0))</f>
        <v>0</v>
      </c>
      <c r="AE686">
        <f>AND(IF(metadata!K686="",FALSE,TRUE),exact(metadata!K686,"g"))</f>
        <v>0</v>
      </c>
    </row>
    <row r="687" spans="1:31">
      <c r="A687" s="5">
        <f>IF(B687=" "," ",HYPERLINK(CONCATENATE("#metadata!",ADDRESS(INDEX($Q$2:$Q$1001,MATCH(ROWS($O$2:O687),$O$2:$O$1001,0),0),1)),INDEX($T$2:$T$1001,MATCH(ROWS($O$2:O687),$O$2:$O$1001,0),0)))</f>
        <v>0</v>
      </c>
      <c r="B687" s="4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4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4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4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4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4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4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4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4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4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OR(AND(IF(metadata!C687="",FALSE,TRUE),OR(exact(metadata!C687,"not applicable"),exact(metadata!C687,"missing: not collected"),exact(metadata!C687,"missing: not provided"),exact(metadata!C687,"missing: restricted access"))),AND(IF(metadata!C687="",FALSE,ISNUMBER(VALUE(metadata!C687))),metadata!C687&gt;0))</f>
        <v>0</v>
      </c>
      <c r="X687">
        <f>AND(IF(metadata!D687="",FALSE,TRUE),exact(metadata!D687,"weeks"))</f>
        <v>0</v>
      </c>
      <c r="Y687">
        <f>AND(IF(metadata!E687="",FALSE,TRUE),exact(metadata!E687,"urban biome"))</f>
        <v>0</v>
      </c>
      <c r="Z687">
        <f>AND(IF(metadata!F687="",FALSE,TRUE),exact(metadata!F687,"animal-associated habitat"))</f>
        <v>0</v>
      </c>
      <c r="AA687">
        <f>AND(IF(metadata!G687="",FALSE,TRUE),exact(metadata!G687,"mouse"))</f>
        <v>0</v>
      </c>
      <c r="AB687">
        <f>AND(IF(metadata!H687="",FALSE,TRUE),exact(metadata!H687,"Mus musculus"))</f>
        <v>0</v>
      </c>
      <c r="AC687">
        <f>AND(IF(metadata!I687="",FALSE,TRUE),exact(metadata!I687,"10090"))</f>
        <v>0</v>
      </c>
      <c r="AD687">
        <f>OR(AND(IF(metadata!J687="",FALSE,TRUE),OR(exact(metadata!J687,"not applicable"),exact(metadata!J687,"missing: not collected"),exact(metadata!J687,"missing: not provided"),exact(metadata!J687,"missing: restricted access"))),AND(IF(metadata!J687="",FALSE,ISNUMBER(VALUE(metadata!J687))),metadata!J687&gt;0))</f>
        <v>0</v>
      </c>
      <c r="AE687">
        <f>AND(IF(metadata!K687="",FALSE,TRUE),exact(metadata!K687,"g"))</f>
        <v>0</v>
      </c>
    </row>
    <row r="688" spans="1:31">
      <c r="A688" s="5">
        <f>IF(B688=" "," ",HYPERLINK(CONCATENATE("#metadata!",ADDRESS(INDEX($Q$2:$Q$1001,MATCH(ROWS($O$2:O688),$O$2:$O$1001,0),0),1)),INDEX($T$2:$T$1001,MATCH(ROWS($O$2:O688),$O$2:$O$1001,0),0)))</f>
        <v>0</v>
      </c>
      <c r="B688" s="4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4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4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4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4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4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4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4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4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4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OR(AND(IF(metadata!C688="",FALSE,TRUE),OR(exact(metadata!C688,"not applicable"),exact(metadata!C688,"missing: not collected"),exact(metadata!C688,"missing: not provided"),exact(metadata!C688,"missing: restricted access"))),AND(IF(metadata!C688="",FALSE,ISNUMBER(VALUE(metadata!C688))),metadata!C688&gt;0))</f>
        <v>0</v>
      </c>
      <c r="X688">
        <f>AND(IF(metadata!D688="",FALSE,TRUE),exact(metadata!D688,"weeks"))</f>
        <v>0</v>
      </c>
      <c r="Y688">
        <f>AND(IF(metadata!E688="",FALSE,TRUE),exact(metadata!E688,"urban biome"))</f>
        <v>0</v>
      </c>
      <c r="Z688">
        <f>AND(IF(metadata!F688="",FALSE,TRUE),exact(metadata!F688,"animal-associated habitat"))</f>
        <v>0</v>
      </c>
      <c r="AA688">
        <f>AND(IF(metadata!G688="",FALSE,TRUE),exact(metadata!G688,"mouse"))</f>
        <v>0</v>
      </c>
      <c r="AB688">
        <f>AND(IF(metadata!H688="",FALSE,TRUE),exact(metadata!H688,"Mus musculus"))</f>
        <v>0</v>
      </c>
      <c r="AC688">
        <f>AND(IF(metadata!I688="",FALSE,TRUE),exact(metadata!I688,"10090"))</f>
        <v>0</v>
      </c>
      <c r="AD688">
        <f>OR(AND(IF(metadata!J688="",FALSE,TRUE),OR(exact(metadata!J688,"not applicable"),exact(metadata!J688,"missing: not collected"),exact(metadata!J688,"missing: not provided"),exact(metadata!J688,"missing: restricted access"))),AND(IF(metadata!J688="",FALSE,ISNUMBER(VALUE(metadata!J688))),metadata!J688&gt;0))</f>
        <v>0</v>
      </c>
      <c r="AE688">
        <f>AND(IF(metadata!K688="",FALSE,TRUE),exact(metadata!K688,"g"))</f>
        <v>0</v>
      </c>
    </row>
    <row r="689" spans="1:31">
      <c r="A689" s="5">
        <f>IF(B689=" "," ",HYPERLINK(CONCATENATE("#metadata!",ADDRESS(INDEX($Q$2:$Q$1001,MATCH(ROWS($O$2:O689),$O$2:$O$1001,0),0),1)),INDEX($T$2:$T$1001,MATCH(ROWS($O$2:O689),$O$2:$O$1001,0),0)))</f>
        <v>0</v>
      </c>
      <c r="B689" s="4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4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4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4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4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4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4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4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4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4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OR(AND(IF(metadata!C689="",FALSE,TRUE),OR(exact(metadata!C689,"not applicable"),exact(metadata!C689,"missing: not collected"),exact(metadata!C689,"missing: not provided"),exact(metadata!C689,"missing: restricted access"))),AND(IF(metadata!C689="",FALSE,ISNUMBER(VALUE(metadata!C689))),metadata!C689&gt;0))</f>
        <v>0</v>
      </c>
      <c r="X689">
        <f>AND(IF(metadata!D689="",FALSE,TRUE),exact(metadata!D689,"weeks"))</f>
        <v>0</v>
      </c>
      <c r="Y689">
        <f>AND(IF(metadata!E689="",FALSE,TRUE),exact(metadata!E689,"urban biome"))</f>
        <v>0</v>
      </c>
      <c r="Z689">
        <f>AND(IF(metadata!F689="",FALSE,TRUE),exact(metadata!F689,"animal-associated habitat"))</f>
        <v>0</v>
      </c>
      <c r="AA689">
        <f>AND(IF(metadata!G689="",FALSE,TRUE),exact(metadata!G689,"mouse"))</f>
        <v>0</v>
      </c>
      <c r="AB689">
        <f>AND(IF(metadata!H689="",FALSE,TRUE),exact(metadata!H689,"Mus musculus"))</f>
        <v>0</v>
      </c>
      <c r="AC689">
        <f>AND(IF(metadata!I689="",FALSE,TRUE),exact(metadata!I689,"10090"))</f>
        <v>0</v>
      </c>
      <c r="AD689">
        <f>OR(AND(IF(metadata!J689="",FALSE,TRUE),OR(exact(metadata!J689,"not applicable"),exact(metadata!J689,"missing: not collected"),exact(metadata!J689,"missing: not provided"),exact(metadata!J689,"missing: restricted access"))),AND(IF(metadata!J689="",FALSE,ISNUMBER(VALUE(metadata!J689))),metadata!J689&gt;0))</f>
        <v>0</v>
      </c>
      <c r="AE689">
        <f>AND(IF(metadata!K689="",FALSE,TRUE),exact(metadata!K689,"g"))</f>
        <v>0</v>
      </c>
    </row>
    <row r="690" spans="1:31">
      <c r="A690" s="5">
        <f>IF(B690=" "," ",HYPERLINK(CONCATENATE("#metadata!",ADDRESS(INDEX($Q$2:$Q$1001,MATCH(ROWS($O$2:O690),$O$2:$O$1001,0),0),1)),INDEX($T$2:$T$1001,MATCH(ROWS($O$2:O690),$O$2:$O$1001,0),0)))</f>
        <v>0</v>
      </c>
      <c r="B690" s="4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4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4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4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4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4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4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4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4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4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OR(AND(IF(metadata!C690="",FALSE,TRUE),OR(exact(metadata!C690,"not applicable"),exact(metadata!C690,"missing: not collected"),exact(metadata!C690,"missing: not provided"),exact(metadata!C690,"missing: restricted access"))),AND(IF(metadata!C690="",FALSE,ISNUMBER(VALUE(metadata!C690))),metadata!C690&gt;0))</f>
        <v>0</v>
      </c>
      <c r="X690">
        <f>AND(IF(metadata!D690="",FALSE,TRUE),exact(metadata!D690,"weeks"))</f>
        <v>0</v>
      </c>
      <c r="Y690">
        <f>AND(IF(metadata!E690="",FALSE,TRUE),exact(metadata!E690,"urban biome"))</f>
        <v>0</v>
      </c>
      <c r="Z690">
        <f>AND(IF(metadata!F690="",FALSE,TRUE),exact(metadata!F690,"animal-associated habitat"))</f>
        <v>0</v>
      </c>
      <c r="AA690">
        <f>AND(IF(metadata!G690="",FALSE,TRUE),exact(metadata!G690,"mouse"))</f>
        <v>0</v>
      </c>
      <c r="AB690">
        <f>AND(IF(metadata!H690="",FALSE,TRUE),exact(metadata!H690,"Mus musculus"))</f>
        <v>0</v>
      </c>
      <c r="AC690">
        <f>AND(IF(metadata!I690="",FALSE,TRUE),exact(metadata!I690,"10090"))</f>
        <v>0</v>
      </c>
      <c r="AD690">
        <f>OR(AND(IF(metadata!J690="",FALSE,TRUE),OR(exact(metadata!J690,"not applicable"),exact(metadata!J690,"missing: not collected"),exact(metadata!J690,"missing: not provided"),exact(metadata!J690,"missing: restricted access"))),AND(IF(metadata!J690="",FALSE,ISNUMBER(VALUE(metadata!J690))),metadata!J690&gt;0))</f>
        <v>0</v>
      </c>
      <c r="AE690">
        <f>AND(IF(metadata!K690="",FALSE,TRUE),exact(metadata!K690,"g"))</f>
        <v>0</v>
      </c>
    </row>
    <row r="691" spans="1:31">
      <c r="A691" s="5">
        <f>IF(B691=" "," ",HYPERLINK(CONCATENATE("#metadata!",ADDRESS(INDEX($Q$2:$Q$1001,MATCH(ROWS($O$2:O691),$O$2:$O$1001,0),0),1)),INDEX($T$2:$T$1001,MATCH(ROWS($O$2:O691),$O$2:$O$1001,0),0)))</f>
        <v>0</v>
      </c>
      <c r="B691" s="4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4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4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4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4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4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4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4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4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4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OR(AND(IF(metadata!C691="",FALSE,TRUE),OR(exact(metadata!C691,"not applicable"),exact(metadata!C691,"missing: not collected"),exact(metadata!C691,"missing: not provided"),exact(metadata!C691,"missing: restricted access"))),AND(IF(metadata!C691="",FALSE,ISNUMBER(VALUE(metadata!C691))),metadata!C691&gt;0))</f>
        <v>0</v>
      </c>
      <c r="X691">
        <f>AND(IF(metadata!D691="",FALSE,TRUE),exact(metadata!D691,"weeks"))</f>
        <v>0</v>
      </c>
      <c r="Y691">
        <f>AND(IF(metadata!E691="",FALSE,TRUE),exact(metadata!E691,"urban biome"))</f>
        <v>0</v>
      </c>
      <c r="Z691">
        <f>AND(IF(metadata!F691="",FALSE,TRUE),exact(metadata!F691,"animal-associated habitat"))</f>
        <v>0</v>
      </c>
      <c r="AA691">
        <f>AND(IF(metadata!G691="",FALSE,TRUE),exact(metadata!G691,"mouse"))</f>
        <v>0</v>
      </c>
      <c r="AB691">
        <f>AND(IF(metadata!H691="",FALSE,TRUE),exact(metadata!H691,"Mus musculus"))</f>
        <v>0</v>
      </c>
      <c r="AC691">
        <f>AND(IF(metadata!I691="",FALSE,TRUE),exact(metadata!I691,"10090"))</f>
        <v>0</v>
      </c>
      <c r="AD691">
        <f>OR(AND(IF(metadata!J691="",FALSE,TRUE),OR(exact(metadata!J691,"not applicable"),exact(metadata!J691,"missing: not collected"),exact(metadata!J691,"missing: not provided"),exact(metadata!J691,"missing: restricted access"))),AND(IF(metadata!J691="",FALSE,ISNUMBER(VALUE(metadata!J691))),metadata!J691&gt;0))</f>
        <v>0</v>
      </c>
      <c r="AE691">
        <f>AND(IF(metadata!K691="",FALSE,TRUE),exact(metadata!K691,"g"))</f>
        <v>0</v>
      </c>
    </row>
    <row r="692" spans="1:31">
      <c r="A692" s="5">
        <f>IF(B692=" "," ",HYPERLINK(CONCATENATE("#metadata!",ADDRESS(INDEX($Q$2:$Q$1001,MATCH(ROWS($O$2:O692),$O$2:$O$1001,0),0),1)),INDEX($T$2:$T$1001,MATCH(ROWS($O$2:O692),$O$2:$O$1001,0),0)))</f>
        <v>0</v>
      </c>
      <c r="B692" s="4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4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4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4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4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4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4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4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4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4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OR(AND(IF(metadata!C692="",FALSE,TRUE),OR(exact(metadata!C692,"not applicable"),exact(metadata!C692,"missing: not collected"),exact(metadata!C692,"missing: not provided"),exact(metadata!C692,"missing: restricted access"))),AND(IF(metadata!C692="",FALSE,ISNUMBER(VALUE(metadata!C692))),metadata!C692&gt;0))</f>
        <v>0</v>
      </c>
      <c r="X692">
        <f>AND(IF(metadata!D692="",FALSE,TRUE),exact(metadata!D692,"weeks"))</f>
        <v>0</v>
      </c>
      <c r="Y692">
        <f>AND(IF(metadata!E692="",FALSE,TRUE),exact(metadata!E692,"urban biome"))</f>
        <v>0</v>
      </c>
      <c r="Z692">
        <f>AND(IF(metadata!F692="",FALSE,TRUE),exact(metadata!F692,"animal-associated habitat"))</f>
        <v>0</v>
      </c>
      <c r="AA692">
        <f>AND(IF(metadata!G692="",FALSE,TRUE),exact(metadata!G692,"mouse"))</f>
        <v>0</v>
      </c>
      <c r="AB692">
        <f>AND(IF(metadata!H692="",FALSE,TRUE),exact(metadata!H692,"Mus musculus"))</f>
        <v>0</v>
      </c>
      <c r="AC692">
        <f>AND(IF(metadata!I692="",FALSE,TRUE),exact(metadata!I692,"10090"))</f>
        <v>0</v>
      </c>
      <c r="AD692">
        <f>OR(AND(IF(metadata!J692="",FALSE,TRUE),OR(exact(metadata!J692,"not applicable"),exact(metadata!J692,"missing: not collected"),exact(metadata!J692,"missing: not provided"),exact(metadata!J692,"missing: restricted access"))),AND(IF(metadata!J692="",FALSE,ISNUMBER(VALUE(metadata!J692))),metadata!J692&gt;0))</f>
        <v>0</v>
      </c>
      <c r="AE692">
        <f>AND(IF(metadata!K692="",FALSE,TRUE),exact(metadata!K692,"g"))</f>
        <v>0</v>
      </c>
    </row>
    <row r="693" spans="1:31">
      <c r="A693" s="5">
        <f>IF(B693=" "," ",HYPERLINK(CONCATENATE("#metadata!",ADDRESS(INDEX($Q$2:$Q$1001,MATCH(ROWS($O$2:O693),$O$2:$O$1001,0),0),1)),INDEX($T$2:$T$1001,MATCH(ROWS($O$2:O693),$O$2:$O$1001,0),0)))</f>
        <v>0</v>
      </c>
      <c r="B693" s="4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4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4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4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4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4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4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4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4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4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OR(AND(IF(metadata!C693="",FALSE,TRUE),OR(exact(metadata!C693,"not applicable"),exact(metadata!C693,"missing: not collected"),exact(metadata!C693,"missing: not provided"),exact(metadata!C693,"missing: restricted access"))),AND(IF(metadata!C693="",FALSE,ISNUMBER(VALUE(metadata!C693))),metadata!C693&gt;0))</f>
        <v>0</v>
      </c>
      <c r="X693">
        <f>AND(IF(metadata!D693="",FALSE,TRUE),exact(metadata!D693,"weeks"))</f>
        <v>0</v>
      </c>
      <c r="Y693">
        <f>AND(IF(metadata!E693="",FALSE,TRUE),exact(metadata!E693,"urban biome"))</f>
        <v>0</v>
      </c>
      <c r="Z693">
        <f>AND(IF(metadata!F693="",FALSE,TRUE),exact(metadata!F693,"animal-associated habitat"))</f>
        <v>0</v>
      </c>
      <c r="AA693">
        <f>AND(IF(metadata!G693="",FALSE,TRUE),exact(metadata!G693,"mouse"))</f>
        <v>0</v>
      </c>
      <c r="AB693">
        <f>AND(IF(metadata!H693="",FALSE,TRUE),exact(metadata!H693,"Mus musculus"))</f>
        <v>0</v>
      </c>
      <c r="AC693">
        <f>AND(IF(metadata!I693="",FALSE,TRUE),exact(metadata!I693,"10090"))</f>
        <v>0</v>
      </c>
      <c r="AD693">
        <f>OR(AND(IF(metadata!J693="",FALSE,TRUE),OR(exact(metadata!J693,"not applicable"),exact(metadata!J693,"missing: not collected"),exact(metadata!J693,"missing: not provided"),exact(metadata!J693,"missing: restricted access"))),AND(IF(metadata!J693="",FALSE,ISNUMBER(VALUE(metadata!J693))),metadata!J693&gt;0))</f>
        <v>0</v>
      </c>
      <c r="AE693">
        <f>AND(IF(metadata!K693="",FALSE,TRUE),exact(metadata!K693,"g"))</f>
        <v>0</v>
      </c>
    </row>
    <row r="694" spans="1:31">
      <c r="A694" s="5">
        <f>IF(B694=" "," ",HYPERLINK(CONCATENATE("#metadata!",ADDRESS(INDEX($Q$2:$Q$1001,MATCH(ROWS($O$2:O694),$O$2:$O$1001,0),0),1)),INDEX($T$2:$T$1001,MATCH(ROWS($O$2:O694),$O$2:$O$1001,0),0)))</f>
        <v>0</v>
      </c>
      <c r="B694" s="4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4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4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4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4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4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4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4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4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4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OR(AND(IF(metadata!C694="",FALSE,TRUE),OR(exact(metadata!C694,"not applicable"),exact(metadata!C694,"missing: not collected"),exact(metadata!C694,"missing: not provided"),exact(metadata!C694,"missing: restricted access"))),AND(IF(metadata!C694="",FALSE,ISNUMBER(VALUE(metadata!C694))),metadata!C694&gt;0))</f>
        <v>0</v>
      </c>
      <c r="X694">
        <f>AND(IF(metadata!D694="",FALSE,TRUE),exact(metadata!D694,"weeks"))</f>
        <v>0</v>
      </c>
      <c r="Y694">
        <f>AND(IF(metadata!E694="",FALSE,TRUE),exact(metadata!E694,"urban biome"))</f>
        <v>0</v>
      </c>
      <c r="Z694">
        <f>AND(IF(metadata!F694="",FALSE,TRUE),exact(metadata!F694,"animal-associated habitat"))</f>
        <v>0</v>
      </c>
      <c r="AA694">
        <f>AND(IF(metadata!G694="",FALSE,TRUE),exact(metadata!G694,"mouse"))</f>
        <v>0</v>
      </c>
      <c r="AB694">
        <f>AND(IF(metadata!H694="",FALSE,TRUE),exact(metadata!H694,"Mus musculus"))</f>
        <v>0</v>
      </c>
      <c r="AC694">
        <f>AND(IF(metadata!I694="",FALSE,TRUE),exact(metadata!I694,"10090"))</f>
        <v>0</v>
      </c>
      <c r="AD694">
        <f>OR(AND(IF(metadata!J694="",FALSE,TRUE),OR(exact(metadata!J694,"not applicable"),exact(metadata!J694,"missing: not collected"),exact(metadata!J694,"missing: not provided"),exact(metadata!J694,"missing: restricted access"))),AND(IF(metadata!J694="",FALSE,ISNUMBER(VALUE(metadata!J694))),metadata!J694&gt;0))</f>
        <v>0</v>
      </c>
      <c r="AE694">
        <f>AND(IF(metadata!K694="",FALSE,TRUE),exact(metadata!K694,"g"))</f>
        <v>0</v>
      </c>
    </row>
    <row r="695" spans="1:31">
      <c r="A695" s="5">
        <f>IF(B695=" "," ",HYPERLINK(CONCATENATE("#metadata!",ADDRESS(INDEX($Q$2:$Q$1001,MATCH(ROWS($O$2:O695),$O$2:$O$1001,0),0),1)),INDEX($T$2:$T$1001,MATCH(ROWS($O$2:O695),$O$2:$O$1001,0),0)))</f>
        <v>0</v>
      </c>
      <c r="B695" s="4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4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4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4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4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4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4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4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4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4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OR(AND(IF(metadata!C695="",FALSE,TRUE),OR(exact(metadata!C695,"not applicable"),exact(metadata!C695,"missing: not collected"),exact(metadata!C695,"missing: not provided"),exact(metadata!C695,"missing: restricted access"))),AND(IF(metadata!C695="",FALSE,ISNUMBER(VALUE(metadata!C695))),metadata!C695&gt;0))</f>
        <v>0</v>
      </c>
      <c r="X695">
        <f>AND(IF(metadata!D695="",FALSE,TRUE),exact(metadata!D695,"weeks"))</f>
        <v>0</v>
      </c>
      <c r="Y695">
        <f>AND(IF(metadata!E695="",FALSE,TRUE),exact(metadata!E695,"urban biome"))</f>
        <v>0</v>
      </c>
      <c r="Z695">
        <f>AND(IF(metadata!F695="",FALSE,TRUE),exact(metadata!F695,"animal-associated habitat"))</f>
        <v>0</v>
      </c>
      <c r="AA695">
        <f>AND(IF(metadata!G695="",FALSE,TRUE),exact(metadata!G695,"mouse"))</f>
        <v>0</v>
      </c>
      <c r="AB695">
        <f>AND(IF(metadata!H695="",FALSE,TRUE),exact(metadata!H695,"Mus musculus"))</f>
        <v>0</v>
      </c>
      <c r="AC695">
        <f>AND(IF(metadata!I695="",FALSE,TRUE),exact(metadata!I695,"10090"))</f>
        <v>0</v>
      </c>
      <c r="AD695">
        <f>OR(AND(IF(metadata!J695="",FALSE,TRUE),OR(exact(metadata!J695,"not applicable"),exact(metadata!J695,"missing: not collected"),exact(metadata!J695,"missing: not provided"),exact(metadata!J695,"missing: restricted access"))),AND(IF(metadata!J695="",FALSE,ISNUMBER(VALUE(metadata!J695))),metadata!J695&gt;0))</f>
        <v>0</v>
      </c>
      <c r="AE695">
        <f>AND(IF(metadata!K695="",FALSE,TRUE),exact(metadata!K695,"g"))</f>
        <v>0</v>
      </c>
    </row>
    <row r="696" spans="1:31">
      <c r="A696" s="5">
        <f>IF(B696=" "," ",HYPERLINK(CONCATENATE("#metadata!",ADDRESS(INDEX($Q$2:$Q$1001,MATCH(ROWS($O$2:O696),$O$2:$O$1001,0),0),1)),INDEX($T$2:$T$1001,MATCH(ROWS($O$2:O696),$O$2:$O$1001,0),0)))</f>
        <v>0</v>
      </c>
      <c r="B696" s="4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4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4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4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4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4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4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4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4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4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OR(AND(IF(metadata!C696="",FALSE,TRUE),OR(exact(metadata!C696,"not applicable"),exact(metadata!C696,"missing: not collected"),exact(metadata!C696,"missing: not provided"),exact(metadata!C696,"missing: restricted access"))),AND(IF(metadata!C696="",FALSE,ISNUMBER(VALUE(metadata!C696))),metadata!C696&gt;0))</f>
        <v>0</v>
      </c>
      <c r="X696">
        <f>AND(IF(metadata!D696="",FALSE,TRUE),exact(metadata!D696,"weeks"))</f>
        <v>0</v>
      </c>
      <c r="Y696">
        <f>AND(IF(metadata!E696="",FALSE,TRUE),exact(metadata!E696,"urban biome"))</f>
        <v>0</v>
      </c>
      <c r="Z696">
        <f>AND(IF(metadata!F696="",FALSE,TRUE),exact(metadata!F696,"animal-associated habitat"))</f>
        <v>0</v>
      </c>
      <c r="AA696">
        <f>AND(IF(metadata!G696="",FALSE,TRUE),exact(metadata!G696,"mouse"))</f>
        <v>0</v>
      </c>
      <c r="AB696">
        <f>AND(IF(metadata!H696="",FALSE,TRUE),exact(metadata!H696,"Mus musculus"))</f>
        <v>0</v>
      </c>
      <c r="AC696">
        <f>AND(IF(metadata!I696="",FALSE,TRUE),exact(metadata!I696,"10090"))</f>
        <v>0</v>
      </c>
      <c r="AD696">
        <f>OR(AND(IF(metadata!J696="",FALSE,TRUE),OR(exact(metadata!J696,"not applicable"),exact(metadata!J696,"missing: not collected"),exact(metadata!J696,"missing: not provided"),exact(metadata!J696,"missing: restricted access"))),AND(IF(metadata!J696="",FALSE,ISNUMBER(VALUE(metadata!J696))),metadata!J696&gt;0))</f>
        <v>0</v>
      </c>
      <c r="AE696">
        <f>AND(IF(metadata!K696="",FALSE,TRUE),exact(metadata!K696,"g"))</f>
        <v>0</v>
      </c>
    </row>
    <row r="697" spans="1:31">
      <c r="A697" s="5">
        <f>IF(B697=" "," ",HYPERLINK(CONCATENATE("#metadata!",ADDRESS(INDEX($Q$2:$Q$1001,MATCH(ROWS($O$2:O697),$O$2:$O$1001,0),0),1)),INDEX($T$2:$T$1001,MATCH(ROWS($O$2:O697),$O$2:$O$1001,0),0)))</f>
        <v>0</v>
      </c>
      <c r="B697" s="4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4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4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4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4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4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4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4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4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4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OR(AND(IF(metadata!C697="",FALSE,TRUE),OR(exact(metadata!C697,"not applicable"),exact(metadata!C697,"missing: not collected"),exact(metadata!C697,"missing: not provided"),exact(metadata!C697,"missing: restricted access"))),AND(IF(metadata!C697="",FALSE,ISNUMBER(VALUE(metadata!C697))),metadata!C697&gt;0))</f>
        <v>0</v>
      </c>
      <c r="X697">
        <f>AND(IF(metadata!D697="",FALSE,TRUE),exact(metadata!D697,"weeks"))</f>
        <v>0</v>
      </c>
      <c r="Y697">
        <f>AND(IF(metadata!E697="",FALSE,TRUE),exact(metadata!E697,"urban biome"))</f>
        <v>0</v>
      </c>
      <c r="Z697">
        <f>AND(IF(metadata!F697="",FALSE,TRUE),exact(metadata!F697,"animal-associated habitat"))</f>
        <v>0</v>
      </c>
      <c r="AA697">
        <f>AND(IF(metadata!G697="",FALSE,TRUE),exact(metadata!G697,"mouse"))</f>
        <v>0</v>
      </c>
      <c r="AB697">
        <f>AND(IF(metadata!H697="",FALSE,TRUE),exact(metadata!H697,"Mus musculus"))</f>
        <v>0</v>
      </c>
      <c r="AC697">
        <f>AND(IF(metadata!I697="",FALSE,TRUE),exact(metadata!I697,"10090"))</f>
        <v>0</v>
      </c>
      <c r="AD697">
        <f>OR(AND(IF(metadata!J697="",FALSE,TRUE),OR(exact(metadata!J697,"not applicable"),exact(metadata!J697,"missing: not collected"),exact(metadata!J697,"missing: not provided"),exact(metadata!J697,"missing: restricted access"))),AND(IF(metadata!J697="",FALSE,ISNUMBER(VALUE(metadata!J697))),metadata!J697&gt;0))</f>
        <v>0</v>
      </c>
      <c r="AE697">
        <f>AND(IF(metadata!K697="",FALSE,TRUE),exact(metadata!K697,"g"))</f>
        <v>0</v>
      </c>
    </row>
    <row r="698" spans="1:31">
      <c r="A698" s="5">
        <f>IF(B698=" "," ",HYPERLINK(CONCATENATE("#metadata!",ADDRESS(INDEX($Q$2:$Q$1001,MATCH(ROWS($O$2:O698),$O$2:$O$1001,0),0),1)),INDEX($T$2:$T$1001,MATCH(ROWS($O$2:O698),$O$2:$O$1001,0),0)))</f>
        <v>0</v>
      </c>
      <c r="B698" s="4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4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4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4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4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4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4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4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4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4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OR(AND(IF(metadata!C698="",FALSE,TRUE),OR(exact(metadata!C698,"not applicable"),exact(metadata!C698,"missing: not collected"),exact(metadata!C698,"missing: not provided"),exact(metadata!C698,"missing: restricted access"))),AND(IF(metadata!C698="",FALSE,ISNUMBER(VALUE(metadata!C698))),metadata!C698&gt;0))</f>
        <v>0</v>
      </c>
      <c r="X698">
        <f>AND(IF(metadata!D698="",FALSE,TRUE),exact(metadata!D698,"weeks"))</f>
        <v>0</v>
      </c>
      <c r="Y698">
        <f>AND(IF(metadata!E698="",FALSE,TRUE),exact(metadata!E698,"urban biome"))</f>
        <v>0</v>
      </c>
      <c r="Z698">
        <f>AND(IF(metadata!F698="",FALSE,TRUE),exact(metadata!F698,"animal-associated habitat"))</f>
        <v>0</v>
      </c>
      <c r="AA698">
        <f>AND(IF(metadata!G698="",FALSE,TRUE),exact(metadata!G698,"mouse"))</f>
        <v>0</v>
      </c>
      <c r="AB698">
        <f>AND(IF(metadata!H698="",FALSE,TRUE),exact(metadata!H698,"Mus musculus"))</f>
        <v>0</v>
      </c>
      <c r="AC698">
        <f>AND(IF(metadata!I698="",FALSE,TRUE),exact(metadata!I698,"10090"))</f>
        <v>0</v>
      </c>
      <c r="AD698">
        <f>OR(AND(IF(metadata!J698="",FALSE,TRUE),OR(exact(metadata!J698,"not applicable"),exact(metadata!J698,"missing: not collected"),exact(metadata!J698,"missing: not provided"),exact(metadata!J698,"missing: restricted access"))),AND(IF(metadata!J698="",FALSE,ISNUMBER(VALUE(metadata!J698))),metadata!J698&gt;0))</f>
        <v>0</v>
      </c>
      <c r="AE698">
        <f>AND(IF(metadata!K698="",FALSE,TRUE),exact(metadata!K698,"g"))</f>
        <v>0</v>
      </c>
    </row>
    <row r="699" spans="1:31">
      <c r="A699" s="5">
        <f>IF(B699=" "," ",HYPERLINK(CONCATENATE("#metadata!",ADDRESS(INDEX($Q$2:$Q$1001,MATCH(ROWS($O$2:O699),$O$2:$O$1001,0),0),1)),INDEX($T$2:$T$1001,MATCH(ROWS($O$2:O699),$O$2:$O$1001,0),0)))</f>
        <v>0</v>
      </c>
      <c r="B699" s="4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4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4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4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4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4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4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4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4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4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OR(AND(IF(metadata!C699="",FALSE,TRUE),OR(exact(metadata!C699,"not applicable"),exact(metadata!C699,"missing: not collected"),exact(metadata!C699,"missing: not provided"),exact(metadata!C699,"missing: restricted access"))),AND(IF(metadata!C699="",FALSE,ISNUMBER(VALUE(metadata!C699))),metadata!C699&gt;0))</f>
        <v>0</v>
      </c>
      <c r="X699">
        <f>AND(IF(metadata!D699="",FALSE,TRUE),exact(metadata!D699,"weeks"))</f>
        <v>0</v>
      </c>
      <c r="Y699">
        <f>AND(IF(metadata!E699="",FALSE,TRUE),exact(metadata!E699,"urban biome"))</f>
        <v>0</v>
      </c>
      <c r="Z699">
        <f>AND(IF(metadata!F699="",FALSE,TRUE),exact(metadata!F699,"animal-associated habitat"))</f>
        <v>0</v>
      </c>
      <c r="AA699">
        <f>AND(IF(metadata!G699="",FALSE,TRUE),exact(metadata!G699,"mouse"))</f>
        <v>0</v>
      </c>
      <c r="AB699">
        <f>AND(IF(metadata!H699="",FALSE,TRUE),exact(metadata!H699,"Mus musculus"))</f>
        <v>0</v>
      </c>
      <c r="AC699">
        <f>AND(IF(metadata!I699="",FALSE,TRUE),exact(metadata!I699,"10090"))</f>
        <v>0</v>
      </c>
      <c r="AD699">
        <f>OR(AND(IF(metadata!J699="",FALSE,TRUE),OR(exact(metadata!J699,"not applicable"),exact(metadata!J699,"missing: not collected"),exact(metadata!J699,"missing: not provided"),exact(metadata!J699,"missing: restricted access"))),AND(IF(metadata!J699="",FALSE,ISNUMBER(VALUE(metadata!J699))),metadata!J699&gt;0))</f>
        <v>0</v>
      </c>
      <c r="AE699">
        <f>AND(IF(metadata!K699="",FALSE,TRUE),exact(metadata!K699,"g"))</f>
        <v>0</v>
      </c>
    </row>
    <row r="700" spans="1:31">
      <c r="A700" s="5">
        <f>IF(B700=" "," ",HYPERLINK(CONCATENATE("#metadata!",ADDRESS(INDEX($Q$2:$Q$1001,MATCH(ROWS($O$2:O700),$O$2:$O$1001,0),0),1)),INDEX($T$2:$T$1001,MATCH(ROWS($O$2:O700),$O$2:$O$1001,0),0)))</f>
        <v>0</v>
      </c>
      <c r="B700" s="4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4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4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4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4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4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4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4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4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4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OR(AND(IF(metadata!C700="",FALSE,TRUE),OR(exact(metadata!C700,"not applicable"),exact(metadata!C700,"missing: not collected"),exact(metadata!C700,"missing: not provided"),exact(metadata!C700,"missing: restricted access"))),AND(IF(metadata!C700="",FALSE,ISNUMBER(VALUE(metadata!C700))),metadata!C700&gt;0))</f>
        <v>0</v>
      </c>
      <c r="X700">
        <f>AND(IF(metadata!D700="",FALSE,TRUE),exact(metadata!D700,"weeks"))</f>
        <v>0</v>
      </c>
      <c r="Y700">
        <f>AND(IF(metadata!E700="",FALSE,TRUE),exact(metadata!E700,"urban biome"))</f>
        <v>0</v>
      </c>
      <c r="Z700">
        <f>AND(IF(metadata!F700="",FALSE,TRUE),exact(metadata!F700,"animal-associated habitat"))</f>
        <v>0</v>
      </c>
      <c r="AA700">
        <f>AND(IF(metadata!G700="",FALSE,TRUE),exact(metadata!G700,"mouse"))</f>
        <v>0</v>
      </c>
      <c r="AB700">
        <f>AND(IF(metadata!H700="",FALSE,TRUE),exact(metadata!H700,"Mus musculus"))</f>
        <v>0</v>
      </c>
      <c r="AC700">
        <f>AND(IF(metadata!I700="",FALSE,TRUE),exact(metadata!I700,"10090"))</f>
        <v>0</v>
      </c>
      <c r="AD700">
        <f>OR(AND(IF(metadata!J700="",FALSE,TRUE),OR(exact(metadata!J700,"not applicable"),exact(metadata!J700,"missing: not collected"),exact(metadata!J700,"missing: not provided"),exact(metadata!J700,"missing: restricted access"))),AND(IF(metadata!J700="",FALSE,ISNUMBER(VALUE(metadata!J700))),metadata!J700&gt;0))</f>
        <v>0</v>
      </c>
      <c r="AE700">
        <f>AND(IF(metadata!K700="",FALSE,TRUE),exact(metadata!K700,"g"))</f>
        <v>0</v>
      </c>
    </row>
    <row r="701" spans="1:31">
      <c r="A701" s="5">
        <f>IF(B701=" "," ",HYPERLINK(CONCATENATE("#metadata!",ADDRESS(INDEX($Q$2:$Q$1001,MATCH(ROWS($O$2:O701),$O$2:$O$1001,0),0),1)),INDEX($T$2:$T$1001,MATCH(ROWS($O$2:O701),$O$2:$O$1001,0),0)))</f>
        <v>0</v>
      </c>
      <c r="B701" s="4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4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4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4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4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4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4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4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4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4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OR(AND(IF(metadata!C701="",FALSE,TRUE),OR(exact(metadata!C701,"not applicable"),exact(metadata!C701,"missing: not collected"),exact(metadata!C701,"missing: not provided"),exact(metadata!C701,"missing: restricted access"))),AND(IF(metadata!C701="",FALSE,ISNUMBER(VALUE(metadata!C701))),metadata!C701&gt;0))</f>
        <v>0</v>
      </c>
      <c r="X701">
        <f>AND(IF(metadata!D701="",FALSE,TRUE),exact(metadata!D701,"weeks"))</f>
        <v>0</v>
      </c>
      <c r="Y701">
        <f>AND(IF(metadata!E701="",FALSE,TRUE),exact(metadata!E701,"urban biome"))</f>
        <v>0</v>
      </c>
      <c r="Z701">
        <f>AND(IF(metadata!F701="",FALSE,TRUE),exact(metadata!F701,"animal-associated habitat"))</f>
        <v>0</v>
      </c>
      <c r="AA701">
        <f>AND(IF(metadata!G701="",FALSE,TRUE),exact(metadata!G701,"mouse"))</f>
        <v>0</v>
      </c>
      <c r="AB701">
        <f>AND(IF(metadata!H701="",FALSE,TRUE),exact(metadata!H701,"Mus musculus"))</f>
        <v>0</v>
      </c>
      <c r="AC701">
        <f>AND(IF(metadata!I701="",FALSE,TRUE),exact(metadata!I701,"10090"))</f>
        <v>0</v>
      </c>
      <c r="AD701">
        <f>OR(AND(IF(metadata!J701="",FALSE,TRUE),OR(exact(metadata!J701,"not applicable"),exact(metadata!J701,"missing: not collected"),exact(metadata!J701,"missing: not provided"),exact(metadata!J701,"missing: restricted access"))),AND(IF(metadata!J701="",FALSE,ISNUMBER(VALUE(metadata!J701))),metadata!J701&gt;0))</f>
        <v>0</v>
      </c>
      <c r="AE701">
        <f>AND(IF(metadata!K701="",FALSE,TRUE),exact(metadata!K701,"g"))</f>
        <v>0</v>
      </c>
    </row>
    <row r="702" spans="1:31">
      <c r="A702" s="5">
        <f>IF(B702=" "," ",HYPERLINK(CONCATENATE("#metadata!",ADDRESS(INDEX($Q$2:$Q$1001,MATCH(ROWS($O$2:O702),$O$2:$O$1001,0),0),1)),INDEX($T$2:$T$1001,MATCH(ROWS($O$2:O702),$O$2:$O$1001,0),0)))</f>
        <v>0</v>
      </c>
      <c r="B702" s="4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4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4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4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4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4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4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4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4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4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OR(AND(IF(metadata!C702="",FALSE,TRUE),OR(exact(metadata!C702,"not applicable"),exact(metadata!C702,"missing: not collected"),exact(metadata!C702,"missing: not provided"),exact(metadata!C702,"missing: restricted access"))),AND(IF(metadata!C702="",FALSE,ISNUMBER(VALUE(metadata!C702))),metadata!C702&gt;0))</f>
        <v>0</v>
      </c>
      <c r="X702">
        <f>AND(IF(metadata!D702="",FALSE,TRUE),exact(metadata!D702,"weeks"))</f>
        <v>0</v>
      </c>
      <c r="Y702">
        <f>AND(IF(metadata!E702="",FALSE,TRUE),exact(metadata!E702,"urban biome"))</f>
        <v>0</v>
      </c>
      <c r="Z702">
        <f>AND(IF(metadata!F702="",FALSE,TRUE),exact(metadata!F702,"animal-associated habitat"))</f>
        <v>0</v>
      </c>
      <c r="AA702">
        <f>AND(IF(metadata!G702="",FALSE,TRUE),exact(metadata!G702,"mouse"))</f>
        <v>0</v>
      </c>
      <c r="AB702">
        <f>AND(IF(metadata!H702="",FALSE,TRUE),exact(metadata!H702,"Mus musculus"))</f>
        <v>0</v>
      </c>
      <c r="AC702">
        <f>AND(IF(metadata!I702="",FALSE,TRUE),exact(metadata!I702,"10090"))</f>
        <v>0</v>
      </c>
      <c r="AD702">
        <f>OR(AND(IF(metadata!J702="",FALSE,TRUE),OR(exact(metadata!J702,"not applicable"),exact(metadata!J702,"missing: not collected"),exact(metadata!J702,"missing: not provided"),exact(metadata!J702,"missing: restricted access"))),AND(IF(metadata!J702="",FALSE,ISNUMBER(VALUE(metadata!J702))),metadata!J702&gt;0))</f>
        <v>0</v>
      </c>
      <c r="AE702">
        <f>AND(IF(metadata!K702="",FALSE,TRUE),exact(metadata!K702,"g"))</f>
        <v>0</v>
      </c>
    </row>
    <row r="703" spans="1:31">
      <c r="A703" s="5">
        <f>IF(B703=" "," ",HYPERLINK(CONCATENATE("#metadata!",ADDRESS(INDEX($Q$2:$Q$1001,MATCH(ROWS($O$2:O703),$O$2:$O$1001,0),0),1)),INDEX($T$2:$T$1001,MATCH(ROWS($O$2:O703),$O$2:$O$1001,0),0)))</f>
        <v>0</v>
      </c>
      <c r="B703" s="4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4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4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4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4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4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4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4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4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4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OR(AND(IF(metadata!C703="",FALSE,TRUE),OR(exact(metadata!C703,"not applicable"),exact(metadata!C703,"missing: not collected"),exact(metadata!C703,"missing: not provided"),exact(metadata!C703,"missing: restricted access"))),AND(IF(metadata!C703="",FALSE,ISNUMBER(VALUE(metadata!C703))),metadata!C703&gt;0))</f>
        <v>0</v>
      </c>
      <c r="X703">
        <f>AND(IF(metadata!D703="",FALSE,TRUE),exact(metadata!D703,"weeks"))</f>
        <v>0</v>
      </c>
      <c r="Y703">
        <f>AND(IF(metadata!E703="",FALSE,TRUE),exact(metadata!E703,"urban biome"))</f>
        <v>0</v>
      </c>
      <c r="Z703">
        <f>AND(IF(metadata!F703="",FALSE,TRUE),exact(metadata!F703,"animal-associated habitat"))</f>
        <v>0</v>
      </c>
      <c r="AA703">
        <f>AND(IF(metadata!G703="",FALSE,TRUE),exact(metadata!G703,"mouse"))</f>
        <v>0</v>
      </c>
      <c r="AB703">
        <f>AND(IF(metadata!H703="",FALSE,TRUE),exact(metadata!H703,"Mus musculus"))</f>
        <v>0</v>
      </c>
      <c r="AC703">
        <f>AND(IF(metadata!I703="",FALSE,TRUE),exact(metadata!I703,"10090"))</f>
        <v>0</v>
      </c>
      <c r="AD703">
        <f>OR(AND(IF(metadata!J703="",FALSE,TRUE),OR(exact(metadata!J703,"not applicable"),exact(metadata!J703,"missing: not collected"),exact(metadata!J703,"missing: not provided"),exact(metadata!J703,"missing: restricted access"))),AND(IF(metadata!J703="",FALSE,ISNUMBER(VALUE(metadata!J703))),metadata!J703&gt;0))</f>
        <v>0</v>
      </c>
      <c r="AE703">
        <f>AND(IF(metadata!K703="",FALSE,TRUE),exact(metadata!K703,"g"))</f>
        <v>0</v>
      </c>
    </row>
    <row r="704" spans="1:31">
      <c r="A704" s="5">
        <f>IF(B704=" "," ",HYPERLINK(CONCATENATE("#metadata!",ADDRESS(INDEX($Q$2:$Q$1001,MATCH(ROWS($O$2:O704),$O$2:$O$1001,0),0),1)),INDEX($T$2:$T$1001,MATCH(ROWS($O$2:O704),$O$2:$O$1001,0),0)))</f>
        <v>0</v>
      </c>
      <c r="B704" s="4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4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4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4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4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4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4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4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4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4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OR(AND(IF(metadata!C704="",FALSE,TRUE),OR(exact(metadata!C704,"not applicable"),exact(metadata!C704,"missing: not collected"),exact(metadata!C704,"missing: not provided"),exact(metadata!C704,"missing: restricted access"))),AND(IF(metadata!C704="",FALSE,ISNUMBER(VALUE(metadata!C704))),metadata!C704&gt;0))</f>
        <v>0</v>
      </c>
      <c r="X704">
        <f>AND(IF(metadata!D704="",FALSE,TRUE),exact(metadata!D704,"weeks"))</f>
        <v>0</v>
      </c>
      <c r="Y704">
        <f>AND(IF(metadata!E704="",FALSE,TRUE),exact(metadata!E704,"urban biome"))</f>
        <v>0</v>
      </c>
      <c r="Z704">
        <f>AND(IF(metadata!F704="",FALSE,TRUE),exact(metadata!F704,"animal-associated habitat"))</f>
        <v>0</v>
      </c>
      <c r="AA704">
        <f>AND(IF(metadata!G704="",FALSE,TRUE),exact(metadata!G704,"mouse"))</f>
        <v>0</v>
      </c>
      <c r="AB704">
        <f>AND(IF(metadata!H704="",FALSE,TRUE),exact(metadata!H704,"Mus musculus"))</f>
        <v>0</v>
      </c>
      <c r="AC704">
        <f>AND(IF(metadata!I704="",FALSE,TRUE),exact(metadata!I704,"10090"))</f>
        <v>0</v>
      </c>
      <c r="AD704">
        <f>OR(AND(IF(metadata!J704="",FALSE,TRUE),OR(exact(metadata!J704,"not applicable"),exact(metadata!J704,"missing: not collected"),exact(metadata!J704,"missing: not provided"),exact(metadata!J704,"missing: restricted access"))),AND(IF(metadata!J704="",FALSE,ISNUMBER(VALUE(metadata!J704))),metadata!J704&gt;0))</f>
        <v>0</v>
      </c>
      <c r="AE704">
        <f>AND(IF(metadata!K704="",FALSE,TRUE),exact(metadata!K704,"g"))</f>
        <v>0</v>
      </c>
    </row>
    <row r="705" spans="1:31">
      <c r="A705" s="5">
        <f>IF(B705=" "," ",HYPERLINK(CONCATENATE("#metadata!",ADDRESS(INDEX($Q$2:$Q$1001,MATCH(ROWS($O$2:O705),$O$2:$O$1001,0),0),1)),INDEX($T$2:$T$1001,MATCH(ROWS($O$2:O705),$O$2:$O$1001,0),0)))</f>
        <v>0</v>
      </c>
      <c r="B705" s="4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4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4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4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4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4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4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4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4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4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OR(AND(IF(metadata!C705="",FALSE,TRUE),OR(exact(metadata!C705,"not applicable"),exact(metadata!C705,"missing: not collected"),exact(metadata!C705,"missing: not provided"),exact(metadata!C705,"missing: restricted access"))),AND(IF(metadata!C705="",FALSE,ISNUMBER(VALUE(metadata!C705))),metadata!C705&gt;0))</f>
        <v>0</v>
      </c>
      <c r="X705">
        <f>AND(IF(metadata!D705="",FALSE,TRUE),exact(metadata!D705,"weeks"))</f>
        <v>0</v>
      </c>
      <c r="Y705">
        <f>AND(IF(metadata!E705="",FALSE,TRUE),exact(metadata!E705,"urban biome"))</f>
        <v>0</v>
      </c>
      <c r="Z705">
        <f>AND(IF(metadata!F705="",FALSE,TRUE),exact(metadata!F705,"animal-associated habitat"))</f>
        <v>0</v>
      </c>
      <c r="AA705">
        <f>AND(IF(metadata!G705="",FALSE,TRUE),exact(metadata!G705,"mouse"))</f>
        <v>0</v>
      </c>
      <c r="AB705">
        <f>AND(IF(metadata!H705="",FALSE,TRUE),exact(metadata!H705,"Mus musculus"))</f>
        <v>0</v>
      </c>
      <c r="AC705">
        <f>AND(IF(metadata!I705="",FALSE,TRUE),exact(metadata!I705,"10090"))</f>
        <v>0</v>
      </c>
      <c r="AD705">
        <f>OR(AND(IF(metadata!J705="",FALSE,TRUE),OR(exact(metadata!J705,"not applicable"),exact(metadata!J705,"missing: not collected"),exact(metadata!J705,"missing: not provided"),exact(metadata!J705,"missing: restricted access"))),AND(IF(metadata!J705="",FALSE,ISNUMBER(VALUE(metadata!J705))),metadata!J705&gt;0))</f>
        <v>0</v>
      </c>
      <c r="AE705">
        <f>AND(IF(metadata!K705="",FALSE,TRUE),exact(metadata!K705,"g"))</f>
        <v>0</v>
      </c>
    </row>
    <row r="706" spans="1:31">
      <c r="A706" s="5">
        <f>IF(B706=" "," ",HYPERLINK(CONCATENATE("#metadata!",ADDRESS(INDEX($Q$2:$Q$1001,MATCH(ROWS($O$2:O706),$O$2:$O$1001,0),0),1)),INDEX($T$2:$T$1001,MATCH(ROWS($O$2:O706),$O$2:$O$1001,0),0)))</f>
        <v>0</v>
      </c>
      <c r="B706" s="4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4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4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4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4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4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4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4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4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4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OR(AND(IF(metadata!C706="",FALSE,TRUE),OR(exact(metadata!C706,"not applicable"),exact(metadata!C706,"missing: not collected"),exact(metadata!C706,"missing: not provided"),exact(metadata!C706,"missing: restricted access"))),AND(IF(metadata!C706="",FALSE,ISNUMBER(VALUE(metadata!C706))),metadata!C706&gt;0))</f>
        <v>0</v>
      </c>
      <c r="X706">
        <f>AND(IF(metadata!D706="",FALSE,TRUE),exact(metadata!D706,"weeks"))</f>
        <v>0</v>
      </c>
      <c r="Y706">
        <f>AND(IF(metadata!E706="",FALSE,TRUE),exact(metadata!E706,"urban biome"))</f>
        <v>0</v>
      </c>
      <c r="Z706">
        <f>AND(IF(metadata!F706="",FALSE,TRUE),exact(metadata!F706,"animal-associated habitat"))</f>
        <v>0</v>
      </c>
      <c r="AA706">
        <f>AND(IF(metadata!G706="",FALSE,TRUE),exact(metadata!G706,"mouse"))</f>
        <v>0</v>
      </c>
      <c r="AB706">
        <f>AND(IF(metadata!H706="",FALSE,TRUE),exact(metadata!H706,"Mus musculus"))</f>
        <v>0</v>
      </c>
      <c r="AC706">
        <f>AND(IF(metadata!I706="",FALSE,TRUE),exact(metadata!I706,"10090"))</f>
        <v>0</v>
      </c>
      <c r="AD706">
        <f>OR(AND(IF(metadata!J706="",FALSE,TRUE),OR(exact(metadata!J706,"not applicable"),exact(metadata!J706,"missing: not collected"),exact(metadata!J706,"missing: not provided"),exact(metadata!J706,"missing: restricted access"))),AND(IF(metadata!J706="",FALSE,ISNUMBER(VALUE(metadata!J706))),metadata!J706&gt;0))</f>
        <v>0</v>
      </c>
      <c r="AE706">
        <f>AND(IF(metadata!K706="",FALSE,TRUE),exact(metadata!K706,"g"))</f>
        <v>0</v>
      </c>
    </row>
    <row r="707" spans="1:31">
      <c r="A707" s="5">
        <f>IF(B707=" "," ",HYPERLINK(CONCATENATE("#metadata!",ADDRESS(INDEX($Q$2:$Q$1001,MATCH(ROWS($O$2:O707),$O$2:$O$1001,0),0),1)),INDEX($T$2:$T$1001,MATCH(ROWS($O$2:O707),$O$2:$O$1001,0),0)))</f>
        <v>0</v>
      </c>
      <c r="B707" s="4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4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4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4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4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4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4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4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4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4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OR(AND(IF(metadata!C707="",FALSE,TRUE),OR(exact(metadata!C707,"not applicable"),exact(metadata!C707,"missing: not collected"),exact(metadata!C707,"missing: not provided"),exact(metadata!C707,"missing: restricted access"))),AND(IF(metadata!C707="",FALSE,ISNUMBER(VALUE(metadata!C707))),metadata!C707&gt;0))</f>
        <v>0</v>
      </c>
      <c r="X707">
        <f>AND(IF(metadata!D707="",FALSE,TRUE),exact(metadata!D707,"weeks"))</f>
        <v>0</v>
      </c>
      <c r="Y707">
        <f>AND(IF(metadata!E707="",FALSE,TRUE),exact(metadata!E707,"urban biome"))</f>
        <v>0</v>
      </c>
      <c r="Z707">
        <f>AND(IF(metadata!F707="",FALSE,TRUE),exact(metadata!F707,"animal-associated habitat"))</f>
        <v>0</v>
      </c>
      <c r="AA707">
        <f>AND(IF(metadata!G707="",FALSE,TRUE),exact(metadata!G707,"mouse"))</f>
        <v>0</v>
      </c>
      <c r="AB707">
        <f>AND(IF(metadata!H707="",FALSE,TRUE),exact(metadata!H707,"Mus musculus"))</f>
        <v>0</v>
      </c>
      <c r="AC707">
        <f>AND(IF(metadata!I707="",FALSE,TRUE),exact(metadata!I707,"10090"))</f>
        <v>0</v>
      </c>
      <c r="AD707">
        <f>OR(AND(IF(metadata!J707="",FALSE,TRUE),OR(exact(metadata!J707,"not applicable"),exact(metadata!J707,"missing: not collected"),exact(metadata!J707,"missing: not provided"),exact(metadata!J707,"missing: restricted access"))),AND(IF(metadata!J707="",FALSE,ISNUMBER(VALUE(metadata!J707))),metadata!J707&gt;0))</f>
        <v>0</v>
      </c>
      <c r="AE707">
        <f>AND(IF(metadata!K707="",FALSE,TRUE),exact(metadata!K707,"g"))</f>
        <v>0</v>
      </c>
    </row>
    <row r="708" spans="1:31">
      <c r="A708" s="5">
        <f>IF(B708=" "," ",HYPERLINK(CONCATENATE("#metadata!",ADDRESS(INDEX($Q$2:$Q$1001,MATCH(ROWS($O$2:O708),$O$2:$O$1001,0),0),1)),INDEX($T$2:$T$1001,MATCH(ROWS($O$2:O708),$O$2:$O$1001,0),0)))</f>
        <v>0</v>
      </c>
      <c r="B708" s="4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4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4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4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4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4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4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4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4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4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OR(AND(IF(metadata!C708="",FALSE,TRUE),OR(exact(metadata!C708,"not applicable"),exact(metadata!C708,"missing: not collected"),exact(metadata!C708,"missing: not provided"),exact(metadata!C708,"missing: restricted access"))),AND(IF(metadata!C708="",FALSE,ISNUMBER(VALUE(metadata!C708))),metadata!C708&gt;0))</f>
        <v>0</v>
      </c>
      <c r="X708">
        <f>AND(IF(metadata!D708="",FALSE,TRUE),exact(metadata!D708,"weeks"))</f>
        <v>0</v>
      </c>
      <c r="Y708">
        <f>AND(IF(metadata!E708="",FALSE,TRUE),exact(metadata!E708,"urban biome"))</f>
        <v>0</v>
      </c>
      <c r="Z708">
        <f>AND(IF(metadata!F708="",FALSE,TRUE),exact(metadata!F708,"animal-associated habitat"))</f>
        <v>0</v>
      </c>
      <c r="AA708">
        <f>AND(IF(metadata!G708="",FALSE,TRUE),exact(metadata!G708,"mouse"))</f>
        <v>0</v>
      </c>
      <c r="AB708">
        <f>AND(IF(metadata!H708="",FALSE,TRUE),exact(metadata!H708,"Mus musculus"))</f>
        <v>0</v>
      </c>
      <c r="AC708">
        <f>AND(IF(metadata!I708="",FALSE,TRUE),exact(metadata!I708,"10090"))</f>
        <v>0</v>
      </c>
      <c r="AD708">
        <f>OR(AND(IF(metadata!J708="",FALSE,TRUE),OR(exact(metadata!J708,"not applicable"),exact(metadata!J708,"missing: not collected"),exact(metadata!J708,"missing: not provided"),exact(metadata!J708,"missing: restricted access"))),AND(IF(metadata!J708="",FALSE,ISNUMBER(VALUE(metadata!J708))),metadata!J708&gt;0))</f>
        <v>0</v>
      </c>
      <c r="AE708">
        <f>AND(IF(metadata!K708="",FALSE,TRUE),exact(metadata!K708,"g"))</f>
        <v>0</v>
      </c>
    </row>
    <row r="709" spans="1:31">
      <c r="A709" s="5">
        <f>IF(B709=" "," ",HYPERLINK(CONCATENATE("#metadata!",ADDRESS(INDEX($Q$2:$Q$1001,MATCH(ROWS($O$2:O709),$O$2:$O$1001,0),0),1)),INDEX($T$2:$T$1001,MATCH(ROWS($O$2:O709),$O$2:$O$1001,0),0)))</f>
        <v>0</v>
      </c>
      <c r="B709" s="4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4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4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4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4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4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4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4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4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4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OR(AND(IF(metadata!C709="",FALSE,TRUE),OR(exact(metadata!C709,"not applicable"),exact(metadata!C709,"missing: not collected"),exact(metadata!C709,"missing: not provided"),exact(metadata!C709,"missing: restricted access"))),AND(IF(metadata!C709="",FALSE,ISNUMBER(VALUE(metadata!C709))),metadata!C709&gt;0))</f>
        <v>0</v>
      </c>
      <c r="X709">
        <f>AND(IF(metadata!D709="",FALSE,TRUE),exact(metadata!D709,"weeks"))</f>
        <v>0</v>
      </c>
      <c r="Y709">
        <f>AND(IF(metadata!E709="",FALSE,TRUE),exact(metadata!E709,"urban biome"))</f>
        <v>0</v>
      </c>
      <c r="Z709">
        <f>AND(IF(metadata!F709="",FALSE,TRUE),exact(metadata!F709,"animal-associated habitat"))</f>
        <v>0</v>
      </c>
      <c r="AA709">
        <f>AND(IF(metadata!G709="",FALSE,TRUE),exact(metadata!G709,"mouse"))</f>
        <v>0</v>
      </c>
      <c r="AB709">
        <f>AND(IF(metadata!H709="",FALSE,TRUE),exact(metadata!H709,"Mus musculus"))</f>
        <v>0</v>
      </c>
      <c r="AC709">
        <f>AND(IF(metadata!I709="",FALSE,TRUE),exact(metadata!I709,"10090"))</f>
        <v>0</v>
      </c>
      <c r="AD709">
        <f>OR(AND(IF(metadata!J709="",FALSE,TRUE),OR(exact(metadata!J709,"not applicable"),exact(metadata!J709,"missing: not collected"),exact(metadata!J709,"missing: not provided"),exact(metadata!J709,"missing: restricted access"))),AND(IF(metadata!J709="",FALSE,ISNUMBER(VALUE(metadata!J709))),metadata!J709&gt;0))</f>
        <v>0</v>
      </c>
      <c r="AE709">
        <f>AND(IF(metadata!K709="",FALSE,TRUE),exact(metadata!K709,"g"))</f>
        <v>0</v>
      </c>
    </row>
    <row r="710" spans="1:31">
      <c r="A710" s="5">
        <f>IF(B710=" "," ",HYPERLINK(CONCATENATE("#metadata!",ADDRESS(INDEX($Q$2:$Q$1001,MATCH(ROWS($O$2:O710),$O$2:$O$1001,0),0),1)),INDEX($T$2:$T$1001,MATCH(ROWS($O$2:O710),$O$2:$O$1001,0),0)))</f>
        <v>0</v>
      </c>
      <c r="B710" s="4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4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4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4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4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4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4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4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4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4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OR(AND(IF(metadata!C710="",FALSE,TRUE),OR(exact(metadata!C710,"not applicable"),exact(metadata!C710,"missing: not collected"),exact(metadata!C710,"missing: not provided"),exact(metadata!C710,"missing: restricted access"))),AND(IF(metadata!C710="",FALSE,ISNUMBER(VALUE(metadata!C710))),metadata!C710&gt;0))</f>
        <v>0</v>
      </c>
      <c r="X710">
        <f>AND(IF(metadata!D710="",FALSE,TRUE),exact(metadata!D710,"weeks"))</f>
        <v>0</v>
      </c>
      <c r="Y710">
        <f>AND(IF(metadata!E710="",FALSE,TRUE),exact(metadata!E710,"urban biome"))</f>
        <v>0</v>
      </c>
      <c r="Z710">
        <f>AND(IF(metadata!F710="",FALSE,TRUE),exact(metadata!F710,"animal-associated habitat"))</f>
        <v>0</v>
      </c>
      <c r="AA710">
        <f>AND(IF(metadata!G710="",FALSE,TRUE),exact(metadata!G710,"mouse"))</f>
        <v>0</v>
      </c>
      <c r="AB710">
        <f>AND(IF(metadata!H710="",FALSE,TRUE),exact(metadata!H710,"Mus musculus"))</f>
        <v>0</v>
      </c>
      <c r="AC710">
        <f>AND(IF(metadata!I710="",FALSE,TRUE),exact(metadata!I710,"10090"))</f>
        <v>0</v>
      </c>
      <c r="AD710">
        <f>OR(AND(IF(metadata!J710="",FALSE,TRUE),OR(exact(metadata!J710,"not applicable"),exact(metadata!J710,"missing: not collected"),exact(metadata!J710,"missing: not provided"),exact(metadata!J710,"missing: restricted access"))),AND(IF(metadata!J710="",FALSE,ISNUMBER(VALUE(metadata!J710))),metadata!J710&gt;0))</f>
        <v>0</v>
      </c>
      <c r="AE710">
        <f>AND(IF(metadata!K710="",FALSE,TRUE),exact(metadata!K710,"g"))</f>
        <v>0</v>
      </c>
    </row>
    <row r="711" spans="1:31">
      <c r="A711" s="5">
        <f>IF(B711=" "," ",HYPERLINK(CONCATENATE("#metadata!",ADDRESS(INDEX($Q$2:$Q$1001,MATCH(ROWS($O$2:O711),$O$2:$O$1001,0),0),1)),INDEX($T$2:$T$1001,MATCH(ROWS($O$2:O711),$O$2:$O$1001,0),0)))</f>
        <v>0</v>
      </c>
      <c r="B711" s="4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4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4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4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4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4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4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4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4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4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OR(AND(IF(metadata!C711="",FALSE,TRUE),OR(exact(metadata!C711,"not applicable"),exact(metadata!C711,"missing: not collected"),exact(metadata!C711,"missing: not provided"),exact(metadata!C711,"missing: restricted access"))),AND(IF(metadata!C711="",FALSE,ISNUMBER(VALUE(metadata!C711))),metadata!C711&gt;0))</f>
        <v>0</v>
      </c>
      <c r="X711">
        <f>AND(IF(metadata!D711="",FALSE,TRUE),exact(metadata!D711,"weeks"))</f>
        <v>0</v>
      </c>
      <c r="Y711">
        <f>AND(IF(metadata!E711="",FALSE,TRUE),exact(metadata!E711,"urban biome"))</f>
        <v>0</v>
      </c>
      <c r="Z711">
        <f>AND(IF(metadata!F711="",FALSE,TRUE),exact(metadata!F711,"animal-associated habitat"))</f>
        <v>0</v>
      </c>
      <c r="AA711">
        <f>AND(IF(metadata!G711="",FALSE,TRUE),exact(metadata!G711,"mouse"))</f>
        <v>0</v>
      </c>
      <c r="AB711">
        <f>AND(IF(metadata!H711="",FALSE,TRUE),exact(metadata!H711,"Mus musculus"))</f>
        <v>0</v>
      </c>
      <c r="AC711">
        <f>AND(IF(metadata!I711="",FALSE,TRUE),exact(metadata!I711,"10090"))</f>
        <v>0</v>
      </c>
      <c r="AD711">
        <f>OR(AND(IF(metadata!J711="",FALSE,TRUE),OR(exact(metadata!J711,"not applicable"),exact(metadata!J711,"missing: not collected"),exact(metadata!J711,"missing: not provided"),exact(metadata!J711,"missing: restricted access"))),AND(IF(metadata!J711="",FALSE,ISNUMBER(VALUE(metadata!J711))),metadata!J711&gt;0))</f>
        <v>0</v>
      </c>
      <c r="AE711">
        <f>AND(IF(metadata!K711="",FALSE,TRUE),exact(metadata!K711,"g"))</f>
        <v>0</v>
      </c>
    </row>
    <row r="712" spans="1:31">
      <c r="A712" s="5">
        <f>IF(B712=" "," ",HYPERLINK(CONCATENATE("#metadata!",ADDRESS(INDEX($Q$2:$Q$1001,MATCH(ROWS($O$2:O712),$O$2:$O$1001,0),0),1)),INDEX($T$2:$T$1001,MATCH(ROWS($O$2:O712),$O$2:$O$1001,0),0)))</f>
        <v>0</v>
      </c>
      <c r="B712" s="4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4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4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4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4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4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4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4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4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4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OR(AND(IF(metadata!C712="",FALSE,TRUE),OR(exact(metadata!C712,"not applicable"),exact(metadata!C712,"missing: not collected"),exact(metadata!C712,"missing: not provided"),exact(metadata!C712,"missing: restricted access"))),AND(IF(metadata!C712="",FALSE,ISNUMBER(VALUE(metadata!C712))),metadata!C712&gt;0))</f>
        <v>0</v>
      </c>
      <c r="X712">
        <f>AND(IF(metadata!D712="",FALSE,TRUE),exact(metadata!D712,"weeks"))</f>
        <v>0</v>
      </c>
      <c r="Y712">
        <f>AND(IF(metadata!E712="",FALSE,TRUE),exact(metadata!E712,"urban biome"))</f>
        <v>0</v>
      </c>
      <c r="Z712">
        <f>AND(IF(metadata!F712="",FALSE,TRUE),exact(metadata!F712,"animal-associated habitat"))</f>
        <v>0</v>
      </c>
      <c r="AA712">
        <f>AND(IF(metadata!G712="",FALSE,TRUE),exact(metadata!G712,"mouse"))</f>
        <v>0</v>
      </c>
      <c r="AB712">
        <f>AND(IF(metadata!H712="",FALSE,TRUE),exact(metadata!H712,"Mus musculus"))</f>
        <v>0</v>
      </c>
      <c r="AC712">
        <f>AND(IF(metadata!I712="",FALSE,TRUE),exact(metadata!I712,"10090"))</f>
        <v>0</v>
      </c>
      <c r="AD712">
        <f>OR(AND(IF(metadata!J712="",FALSE,TRUE),OR(exact(metadata!J712,"not applicable"),exact(metadata!J712,"missing: not collected"),exact(metadata!J712,"missing: not provided"),exact(metadata!J712,"missing: restricted access"))),AND(IF(metadata!J712="",FALSE,ISNUMBER(VALUE(metadata!J712))),metadata!J712&gt;0))</f>
        <v>0</v>
      </c>
      <c r="AE712">
        <f>AND(IF(metadata!K712="",FALSE,TRUE),exact(metadata!K712,"g"))</f>
        <v>0</v>
      </c>
    </row>
    <row r="713" spans="1:31">
      <c r="A713" s="5">
        <f>IF(B713=" "," ",HYPERLINK(CONCATENATE("#metadata!",ADDRESS(INDEX($Q$2:$Q$1001,MATCH(ROWS($O$2:O713),$O$2:$O$1001,0),0),1)),INDEX($T$2:$T$1001,MATCH(ROWS($O$2:O713),$O$2:$O$1001,0),0)))</f>
        <v>0</v>
      </c>
      <c r="B713" s="4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4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4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4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4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4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4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4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4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4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OR(AND(IF(metadata!C713="",FALSE,TRUE),OR(exact(metadata!C713,"not applicable"),exact(metadata!C713,"missing: not collected"),exact(metadata!C713,"missing: not provided"),exact(metadata!C713,"missing: restricted access"))),AND(IF(metadata!C713="",FALSE,ISNUMBER(VALUE(metadata!C713))),metadata!C713&gt;0))</f>
        <v>0</v>
      </c>
      <c r="X713">
        <f>AND(IF(metadata!D713="",FALSE,TRUE),exact(metadata!D713,"weeks"))</f>
        <v>0</v>
      </c>
      <c r="Y713">
        <f>AND(IF(metadata!E713="",FALSE,TRUE),exact(metadata!E713,"urban biome"))</f>
        <v>0</v>
      </c>
      <c r="Z713">
        <f>AND(IF(metadata!F713="",FALSE,TRUE),exact(metadata!F713,"animal-associated habitat"))</f>
        <v>0</v>
      </c>
      <c r="AA713">
        <f>AND(IF(metadata!G713="",FALSE,TRUE),exact(metadata!G713,"mouse"))</f>
        <v>0</v>
      </c>
      <c r="AB713">
        <f>AND(IF(metadata!H713="",FALSE,TRUE),exact(metadata!H713,"Mus musculus"))</f>
        <v>0</v>
      </c>
      <c r="AC713">
        <f>AND(IF(metadata!I713="",FALSE,TRUE),exact(metadata!I713,"10090"))</f>
        <v>0</v>
      </c>
      <c r="AD713">
        <f>OR(AND(IF(metadata!J713="",FALSE,TRUE),OR(exact(metadata!J713,"not applicable"),exact(metadata!J713,"missing: not collected"),exact(metadata!J713,"missing: not provided"),exact(metadata!J713,"missing: restricted access"))),AND(IF(metadata!J713="",FALSE,ISNUMBER(VALUE(metadata!J713))),metadata!J713&gt;0))</f>
        <v>0</v>
      </c>
      <c r="AE713">
        <f>AND(IF(metadata!K713="",FALSE,TRUE),exact(metadata!K713,"g"))</f>
        <v>0</v>
      </c>
    </row>
    <row r="714" spans="1:31">
      <c r="A714" s="5">
        <f>IF(B714=" "," ",HYPERLINK(CONCATENATE("#metadata!",ADDRESS(INDEX($Q$2:$Q$1001,MATCH(ROWS($O$2:O714),$O$2:$O$1001,0),0),1)),INDEX($T$2:$T$1001,MATCH(ROWS($O$2:O714),$O$2:$O$1001,0),0)))</f>
        <v>0</v>
      </c>
      <c r="B714" s="4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4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4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4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4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4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4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4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4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4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OR(AND(IF(metadata!C714="",FALSE,TRUE),OR(exact(metadata!C714,"not applicable"),exact(metadata!C714,"missing: not collected"),exact(metadata!C714,"missing: not provided"),exact(metadata!C714,"missing: restricted access"))),AND(IF(metadata!C714="",FALSE,ISNUMBER(VALUE(metadata!C714))),metadata!C714&gt;0))</f>
        <v>0</v>
      </c>
      <c r="X714">
        <f>AND(IF(metadata!D714="",FALSE,TRUE),exact(metadata!D714,"weeks"))</f>
        <v>0</v>
      </c>
      <c r="Y714">
        <f>AND(IF(metadata!E714="",FALSE,TRUE),exact(metadata!E714,"urban biome"))</f>
        <v>0</v>
      </c>
      <c r="Z714">
        <f>AND(IF(metadata!F714="",FALSE,TRUE),exact(metadata!F714,"animal-associated habitat"))</f>
        <v>0</v>
      </c>
      <c r="AA714">
        <f>AND(IF(metadata!G714="",FALSE,TRUE),exact(metadata!G714,"mouse"))</f>
        <v>0</v>
      </c>
      <c r="AB714">
        <f>AND(IF(metadata!H714="",FALSE,TRUE),exact(metadata!H714,"Mus musculus"))</f>
        <v>0</v>
      </c>
      <c r="AC714">
        <f>AND(IF(metadata!I714="",FALSE,TRUE),exact(metadata!I714,"10090"))</f>
        <v>0</v>
      </c>
      <c r="AD714">
        <f>OR(AND(IF(metadata!J714="",FALSE,TRUE),OR(exact(metadata!J714,"not applicable"),exact(metadata!J714,"missing: not collected"),exact(metadata!J714,"missing: not provided"),exact(metadata!J714,"missing: restricted access"))),AND(IF(metadata!J714="",FALSE,ISNUMBER(VALUE(metadata!J714))),metadata!J714&gt;0))</f>
        <v>0</v>
      </c>
      <c r="AE714">
        <f>AND(IF(metadata!K714="",FALSE,TRUE),exact(metadata!K714,"g"))</f>
        <v>0</v>
      </c>
    </row>
    <row r="715" spans="1:31">
      <c r="A715" s="5">
        <f>IF(B715=" "," ",HYPERLINK(CONCATENATE("#metadata!",ADDRESS(INDEX($Q$2:$Q$1001,MATCH(ROWS($O$2:O715),$O$2:$O$1001,0),0),1)),INDEX($T$2:$T$1001,MATCH(ROWS($O$2:O715),$O$2:$O$1001,0),0)))</f>
        <v>0</v>
      </c>
      <c r="B715" s="4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4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4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4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4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4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4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4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4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4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OR(AND(IF(metadata!C715="",FALSE,TRUE),OR(exact(metadata!C715,"not applicable"),exact(metadata!C715,"missing: not collected"),exact(metadata!C715,"missing: not provided"),exact(metadata!C715,"missing: restricted access"))),AND(IF(metadata!C715="",FALSE,ISNUMBER(VALUE(metadata!C715))),metadata!C715&gt;0))</f>
        <v>0</v>
      </c>
      <c r="X715">
        <f>AND(IF(metadata!D715="",FALSE,TRUE),exact(metadata!D715,"weeks"))</f>
        <v>0</v>
      </c>
      <c r="Y715">
        <f>AND(IF(metadata!E715="",FALSE,TRUE),exact(metadata!E715,"urban biome"))</f>
        <v>0</v>
      </c>
      <c r="Z715">
        <f>AND(IF(metadata!F715="",FALSE,TRUE),exact(metadata!F715,"animal-associated habitat"))</f>
        <v>0</v>
      </c>
      <c r="AA715">
        <f>AND(IF(metadata!G715="",FALSE,TRUE),exact(metadata!G715,"mouse"))</f>
        <v>0</v>
      </c>
      <c r="AB715">
        <f>AND(IF(metadata!H715="",FALSE,TRUE),exact(metadata!H715,"Mus musculus"))</f>
        <v>0</v>
      </c>
      <c r="AC715">
        <f>AND(IF(metadata!I715="",FALSE,TRUE),exact(metadata!I715,"10090"))</f>
        <v>0</v>
      </c>
      <c r="AD715">
        <f>OR(AND(IF(metadata!J715="",FALSE,TRUE),OR(exact(metadata!J715,"not applicable"),exact(metadata!J715,"missing: not collected"),exact(metadata!J715,"missing: not provided"),exact(metadata!J715,"missing: restricted access"))),AND(IF(metadata!J715="",FALSE,ISNUMBER(VALUE(metadata!J715))),metadata!J715&gt;0))</f>
        <v>0</v>
      </c>
      <c r="AE715">
        <f>AND(IF(metadata!K715="",FALSE,TRUE),exact(metadata!K715,"g"))</f>
        <v>0</v>
      </c>
    </row>
    <row r="716" spans="1:31">
      <c r="A716" s="5">
        <f>IF(B716=" "," ",HYPERLINK(CONCATENATE("#metadata!",ADDRESS(INDEX($Q$2:$Q$1001,MATCH(ROWS($O$2:O716),$O$2:$O$1001,0),0),1)),INDEX($T$2:$T$1001,MATCH(ROWS($O$2:O716),$O$2:$O$1001,0),0)))</f>
        <v>0</v>
      </c>
      <c r="B716" s="4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4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4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4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4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4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4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4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4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4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OR(AND(IF(metadata!C716="",FALSE,TRUE),OR(exact(metadata!C716,"not applicable"),exact(metadata!C716,"missing: not collected"),exact(metadata!C716,"missing: not provided"),exact(metadata!C716,"missing: restricted access"))),AND(IF(metadata!C716="",FALSE,ISNUMBER(VALUE(metadata!C716))),metadata!C716&gt;0))</f>
        <v>0</v>
      </c>
      <c r="X716">
        <f>AND(IF(metadata!D716="",FALSE,TRUE),exact(metadata!D716,"weeks"))</f>
        <v>0</v>
      </c>
      <c r="Y716">
        <f>AND(IF(metadata!E716="",FALSE,TRUE),exact(metadata!E716,"urban biome"))</f>
        <v>0</v>
      </c>
      <c r="Z716">
        <f>AND(IF(metadata!F716="",FALSE,TRUE),exact(metadata!F716,"animal-associated habitat"))</f>
        <v>0</v>
      </c>
      <c r="AA716">
        <f>AND(IF(metadata!G716="",FALSE,TRUE),exact(metadata!G716,"mouse"))</f>
        <v>0</v>
      </c>
      <c r="AB716">
        <f>AND(IF(metadata!H716="",FALSE,TRUE),exact(metadata!H716,"Mus musculus"))</f>
        <v>0</v>
      </c>
      <c r="AC716">
        <f>AND(IF(metadata!I716="",FALSE,TRUE),exact(metadata!I716,"10090"))</f>
        <v>0</v>
      </c>
      <c r="AD716">
        <f>OR(AND(IF(metadata!J716="",FALSE,TRUE),OR(exact(metadata!J716,"not applicable"),exact(metadata!J716,"missing: not collected"),exact(metadata!J716,"missing: not provided"),exact(metadata!J716,"missing: restricted access"))),AND(IF(metadata!J716="",FALSE,ISNUMBER(VALUE(metadata!J716))),metadata!J716&gt;0))</f>
        <v>0</v>
      </c>
      <c r="AE716">
        <f>AND(IF(metadata!K716="",FALSE,TRUE),exact(metadata!K716,"g"))</f>
        <v>0</v>
      </c>
    </row>
    <row r="717" spans="1:31">
      <c r="A717" s="5">
        <f>IF(B717=" "," ",HYPERLINK(CONCATENATE("#metadata!",ADDRESS(INDEX($Q$2:$Q$1001,MATCH(ROWS($O$2:O717),$O$2:$O$1001,0),0),1)),INDEX($T$2:$T$1001,MATCH(ROWS($O$2:O717),$O$2:$O$1001,0),0)))</f>
        <v>0</v>
      </c>
      <c r="B717" s="4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4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4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4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4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4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4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4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4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4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OR(AND(IF(metadata!C717="",FALSE,TRUE),OR(exact(metadata!C717,"not applicable"),exact(metadata!C717,"missing: not collected"),exact(metadata!C717,"missing: not provided"),exact(metadata!C717,"missing: restricted access"))),AND(IF(metadata!C717="",FALSE,ISNUMBER(VALUE(metadata!C717))),metadata!C717&gt;0))</f>
        <v>0</v>
      </c>
      <c r="X717">
        <f>AND(IF(metadata!D717="",FALSE,TRUE),exact(metadata!D717,"weeks"))</f>
        <v>0</v>
      </c>
      <c r="Y717">
        <f>AND(IF(metadata!E717="",FALSE,TRUE),exact(metadata!E717,"urban biome"))</f>
        <v>0</v>
      </c>
      <c r="Z717">
        <f>AND(IF(metadata!F717="",FALSE,TRUE),exact(metadata!F717,"animal-associated habitat"))</f>
        <v>0</v>
      </c>
      <c r="AA717">
        <f>AND(IF(metadata!G717="",FALSE,TRUE),exact(metadata!G717,"mouse"))</f>
        <v>0</v>
      </c>
      <c r="AB717">
        <f>AND(IF(metadata!H717="",FALSE,TRUE),exact(metadata!H717,"Mus musculus"))</f>
        <v>0</v>
      </c>
      <c r="AC717">
        <f>AND(IF(metadata!I717="",FALSE,TRUE),exact(metadata!I717,"10090"))</f>
        <v>0</v>
      </c>
      <c r="AD717">
        <f>OR(AND(IF(metadata!J717="",FALSE,TRUE),OR(exact(metadata!J717,"not applicable"),exact(metadata!J717,"missing: not collected"),exact(metadata!J717,"missing: not provided"),exact(metadata!J717,"missing: restricted access"))),AND(IF(metadata!J717="",FALSE,ISNUMBER(VALUE(metadata!J717))),metadata!J717&gt;0))</f>
        <v>0</v>
      </c>
      <c r="AE717">
        <f>AND(IF(metadata!K717="",FALSE,TRUE),exact(metadata!K717,"g"))</f>
        <v>0</v>
      </c>
    </row>
    <row r="718" spans="1:31">
      <c r="A718" s="5">
        <f>IF(B718=" "," ",HYPERLINK(CONCATENATE("#metadata!",ADDRESS(INDEX($Q$2:$Q$1001,MATCH(ROWS($O$2:O718),$O$2:$O$1001,0),0),1)),INDEX($T$2:$T$1001,MATCH(ROWS($O$2:O718),$O$2:$O$1001,0),0)))</f>
        <v>0</v>
      </c>
      <c r="B718" s="4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4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4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4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4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4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4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4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4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4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OR(AND(IF(metadata!C718="",FALSE,TRUE),OR(exact(metadata!C718,"not applicable"),exact(metadata!C718,"missing: not collected"),exact(metadata!C718,"missing: not provided"),exact(metadata!C718,"missing: restricted access"))),AND(IF(metadata!C718="",FALSE,ISNUMBER(VALUE(metadata!C718))),metadata!C718&gt;0))</f>
        <v>0</v>
      </c>
      <c r="X718">
        <f>AND(IF(metadata!D718="",FALSE,TRUE),exact(metadata!D718,"weeks"))</f>
        <v>0</v>
      </c>
      <c r="Y718">
        <f>AND(IF(metadata!E718="",FALSE,TRUE),exact(metadata!E718,"urban biome"))</f>
        <v>0</v>
      </c>
      <c r="Z718">
        <f>AND(IF(metadata!F718="",FALSE,TRUE),exact(metadata!F718,"animal-associated habitat"))</f>
        <v>0</v>
      </c>
      <c r="AA718">
        <f>AND(IF(metadata!G718="",FALSE,TRUE),exact(metadata!G718,"mouse"))</f>
        <v>0</v>
      </c>
      <c r="AB718">
        <f>AND(IF(metadata!H718="",FALSE,TRUE),exact(metadata!H718,"Mus musculus"))</f>
        <v>0</v>
      </c>
      <c r="AC718">
        <f>AND(IF(metadata!I718="",FALSE,TRUE),exact(metadata!I718,"10090"))</f>
        <v>0</v>
      </c>
      <c r="AD718">
        <f>OR(AND(IF(metadata!J718="",FALSE,TRUE),OR(exact(metadata!J718,"not applicable"),exact(metadata!J718,"missing: not collected"),exact(metadata!J718,"missing: not provided"),exact(metadata!J718,"missing: restricted access"))),AND(IF(metadata!J718="",FALSE,ISNUMBER(VALUE(metadata!J718))),metadata!J718&gt;0))</f>
        <v>0</v>
      </c>
      <c r="AE718">
        <f>AND(IF(metadata!K718="",FALSE,TRUE),exact(metadata!K718,"g"))</f>
        <v>0</v>
      </c>
    </row>
    <row r="719" spans="1:31">
      <c r="A719" s="5">
        <f>IF(B719=" "," ",HYPERLINK(CONCATENATE("#metadata!",ADDRESS(INDEX($Q$2:$Q$1001,MATCH(ROWS($O$2:O719),$O$2:$O$1001,0),0),1)),INDEX($T$2:$T$1001,MATCH(ROWS($O$2:O719),$O$2:$O$1001,0),0)))</f>
        <v>0</v>
      </c>
      <c r="B719" s="4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4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4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4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4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4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4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4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4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4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OR(AND(IF(metadata!C719="",FALSE,TRUE),OR(exact(metadata!C719,"not applicable"),exact(metadata!C719,"missing: not collected"),exact(metadata!C719,"missing: not provided"),exact(metadata!C719,"missing: restricted access"))),AND(IF(metadata!C719="",FALSE,ISNUMBER(VALUE(metadata!C719))),metadata!C719&gt;0))</f>
        <v>0</v>
      </c>
      <c r="X719">
        <f>AND(IF(metadata!D719="",FALSE,TRUE),exact(metadata!D719,"weeks"))</f>
        <v>0</v>
      </c>
      <c r="Y719">
        <f>AND(IF(metadata!E719="",FALSE,TRUE),exact(metadata!E719,"urban biome"))</f>
        <v>0</v>
      </c>
      <c r="Z719">
        <f>AND(IF(metadata!F719="",FALSE,TRUE),exact(metadata!F719,"animal-associated habitat"))</f>
        <v>0</v>
      </c>
      <c r="AA719">
        <f>AND(IF(metadata!G719="",FALSE,TRUE),exact(metadata!G719,"mouse"))</f>
        <v>0</v>
      </c>
      <c r="AB719">
        <f>AND(IF(metadata!H719="",FALSE,TRUE),exact(metadata!H719,"Mus musculus"))</f>
        <v>0</v>
      </c>
      <c r="AC719">
        <f>AND(IF(metadata!I719="",FALSE,TRUE),exact(metadata!I719,"10090"))</f>
        <v>0</v>
      </c>
      <c r="AD719">
        <f>OR(AND(IF(metadata!J719="",FALSE,TRUE),OR(exact(metadata!J719,"not applicable"),exact(metadata!J719,"missing: not collected"),exact(metadata!J719,"missing: not provided"),exact(metadata!J719,"missing: restricted access"))),AND(IF(metadata!J719="",FALSE,ISNUMBER(VALUE(metadata!J719))),metadata!J719&gt;0))</f>
        <v>0</v>
      </c>
      <c r="AE719">
        <f>AND(IF(metadata!K719="",FALSE,TRUE),exact(metadata!K719,"g"))</f>
        <v>0</v>
      </c>
    </row>
    <row r="720" spans="1:31">
      <c r="A720" s="5">
        <f>IF(B720=" "," ",HYPERLINK(CONCATENATE("#metadata!",ADDRESS(INDEX($Q$2:$Q$1001,MATCH(ROWS($O$2:O720),$O$2:$O$1001,0),0),1)),INDEX($T$2:$T$1001,MATCH(ROWS($O$2:O720),$O$2:$O$1001,0),0)))</f>
        <v>0</v>
      </c>
      <c r="B720" s="4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4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4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4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4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4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4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4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4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4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OR(AND(IF(metadata!C720="",FALSE,TRUE),OR(exact(metadata!C720,"not applicable"),exact(metadata!C720,"missing: not collected"),exact(metadata!C720,"missing: not provided"),exact(metadata!C720,"missing: restricted access"))),AND(IF(metadata!C720="",FALSE,ISNUMBER(VALUE(metadata!C720))),metadata!C720&gt;0))</f>
        <v>0</v>
      </c>
      <c r="X720">
        <f>AND(IF(metadata!D720="",FALSE,TRUE),exact(metadata!D720,"weeks"))</f>
        <v>0</v>
      </c>
      <c r="Y720">
        <f>AND(IF(metadata!E720="",FALSE,TRUE),exact(metadata!E720,"urban biome"))</f>
        <v>0</v>
      </c>
      <c r="Z720">
        <f>AND(IF(metadata!F720="",FALSE,TRUE),exact(metadata!F720,"animal-associated habitat"))</f>
        <v>0</v>
      </c>
      <c r="AA720">
        <f>AND(IF(metadata!G720="",FALSE,TRUE),exact(metadata!G720,"mouse"))</f>
        <v>0</v>
      </c>
      <c r="AB720">
        <f>AND(IF(metadata!H720="",FALSE,TRUE),exact(metadata!H720,"Mus musculus"))</f>
        <v>0</v>
      </c>
      <c r="AC720">
        <f>AND(IF(metadata!I720="",FALSE,TRUE),exact(metadata!I720,"10090"))</f>
        <v>0</v>
      </c>
      <c r="AD720">
        <f>OR(AND(IF(metadata!J720="",FALSE,TRUE),OR(exact(metadata!J720,"not applicable"),exact(metadata!J720,"missing: not collected"),exact(metadata!J720,"missing: not provided"),exact(metadata!J720,"missing: restricted access"))),AND(IF(metadata!J720="",FALSE,ISNUMBER(VALUE(metadata!J720))),metadata!J720&gt;0))</f>
        <v>0</v>
      </c>
      <c r="AE720">
        <f>AND(IF(metadata!K720="",FALSE,TRUE),exact(metadata!K720,"g"))</f>
        <v>0</v>
      </c>
    </row>
    <row r="721" spans="1:31">
      <c r="A721" s="5">
        <f>IF(B721=" "," ",HYPERLINK(CONCATENATE("#metadata!",ADDRESS(INDEX($Q$2:$Q$1001,MATCH(ROWS($O$2:O721),$O$2:$O$1001,0),0),1)),INDEX($T$2:$T$1001,MATCH(ROWS($O$2:O721),$O$2:$O$1001,0),0)))</f>
        <v>0</v>
      </c>
      <c r="B721" s="4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4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4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4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4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4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4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4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4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4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OR(AND(IF(metadata!C721="",FALSE,TRUE),OR(exact(metadata!C721,"not applicable"),exact(metadata!C721,"missing: not collected"),exact(metadata!C721,"missing: not provided"),exact(metadata!C721,"missing: restricted access"))),AND(IF(metadata!C721="",FALSE,ISNUMBER(VALUE(metadata!C721))),metadata!C721&gt;0))</f>
        <v>0</v>
      </c>
      <c r="X721">
        <f>AND(IF(metadata!D721="",FALSE,TRUE),exact(metadata!D721,"weeks"))</f>
        <v>0</v>
      </c>
      <c r="Y721">
        <f>AND(IF(metadata!E721="",FALSE,TRUE),exact(metadata!E721,"urban biome"))</f>
        <v>0</v>
      </c>
      <c r="Z721">
        <f>AND(IF(metadata!F721="",FALSE,TRUE),exact(metadata!F721,"animal-associated habitat"))</f>
        <v>0</v>
      </c>
      <c r="AA721">
        <f>AND(IF(metadata!G721="",FALSE,TRUE),exact(metadata!G721,"mouse"))</f>
        <v>0</v>
      </c>
      <c r="AB721">
        <f>AND(IF(metadata!H721="",FALSE,TRUE),exact(metadata!H721,"Mus musculus"))</f>
        <v>0</v>
      </c>
      <c r="AC721">
        <f>AND(IF(metadata!I721="",FALSE,TRUE),exact(metadata!I721,"10090"))</f>
        <v>0</v>
      </c>
      <c r="AD721">
        <f>OR(AND(IF(metadata!J721="",FALSE,TRUE),OR(exact(metadata!J721,"not applicable"),exact(metadata!J721,"missing: not collected"),exact(metadata!J721,"missing: not provided"),exact(metadata!J721,"missing: restricted access"))),AND(IF(metadata!J721="",FALSE,ISNUMBER(VALUE(metadata!J721))),metadata!J721&gt;0))</f>
        <v>0</v>
      </c>
      <c r="AE721">
        <f>AND(IF(metadata!K721="",FALSE,TRUE),exact(metadata!K721,"g"))</f>
        <v>0</v>
      </c>
    </row>
    <row r="722" spans="1:31">
      <c r="A722" s="5">
        <f>IF(B722=" "," ",HYPERLINK(CONCATENATE("#metadata!",ADDRESS(INDEX($Q$2:$Q$1001,MATCH(ROWS($O$2:O722),$O$2:$O$1001,0),0),1)),INDEX($T$2:$T$1001,MATCH(ROWS($O$2:O722),$O$2:$O$1001,0),0)))</f>
        <v>0</v>
      </c>
      <c r="B722" s="4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4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4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4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4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4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4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4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4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4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OR(AND(IF(metadata!C722="",FALSE,TRUE),OR(exact(metadata!C722,"not applicable"),exact(metadata!C722,"missing: not collected"),exact(metadata!C722,"missing: not provided"),exact(metadata!C722,"missing: restricted access"))),AND(IF(metadata!C722="",FALSE,ISNUMBER(VALUE(metadata!C722))),metadata!C722&gt;0))</f>
        <v>0</v>
      </c>
      <c r="X722">
        <f>AND(IF(metadata!D722="",FALSE,TRUE),exact(metadata!D722,"weeks"))</f>
        <v>0</v>
      </c>
      <c r="Y722">
        <f>AND(IF(metadata!E722="",FALSE,TRUE),exact(metadata!E722,"urban biome"))</f>
        <v>0</v>
      </c>
      <c r="Z722">
        <f>AND(IF(metadata!F722="",FALSE,TRUE),exact(metadata!F722,"animal-associated habitat"))</f>
        <v>0</v>
      </c>
      <c r="AA722">
        <f>AND(IF(metadata!G722="",FALSE,TRUE),exact(metadata!G722,"mouse"))</f>
        <v>0</v>
      </c>
      <c r="AB722">
        <f>AND(IF(metadata!H722="",FALSE,TRUE),exact(metadata!H722,"Mus musculus"))</f>
        <v>0</v>
      </c>
      <c r="AC722">
        <f>AND(IF(metadata!I722="",FALSE,TRUE),exact(metadata!I722,"10090"))</f>
        <v>0</v>
      </c>
      <c r="AD722">
        <f>OR(AND(IF(metadata!J722="",FALSE,TRUE),OR(exact(metadata!J722,"not applicable"),exact(metadata!J722,"missing: not collected"),exact(metadata!J722,"missing: not provided"),exact(metadata!J722,"missing: restricted access"))),AND(IF(metadata!J722="",FALSE,ISNUMBER(VALUE(metadata!J722))),metadata!J722&gt;0))</f>
        <v>0</v>
      </c>
      <c r="AE722">
        <f>AND(IF(metadata!K722="",FALSE,TRUE),exact(metadata!K722,"g"))</f>
        <v>0</v>
      </c>
    </row>
    <row r="723" spans="1:31">
      <c r="A723" s="5">
        <f>IF(B723=" "," ",HYPERLINK(CONCATENATE("#metadata!",ADDRESS(INDEX($Q$2:$Q$1001,MATCH(ROWS($O$2:O723),$O$2:$O$1001,0),0),1)),INDEX($T$2:$T$1001,MATCH(ROWS($O$2:O723),$O$2:$O$1001,0),0)))</f>
        <v>0</v>
      </c>
      <c r="B723" s="4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4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4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4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4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4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4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4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4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4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OR(AND(IF(metadata!C723="",FALSE,TRUE),OR(exact(metadata!C723,"not applicable"),exact(metadata!C723,"missing: not collected"),exact(metadata!C723,"missing: not provided"),exact(metadata!C723,"missing: restricted access"))),AND(IF(metadata!C723="",FALSE,ISNUMBER(VALUE(metadata!C723))),metadata!C723&gt;0))</f>
        <v>0</v>
      </c>
      <c r="X723">
        <f>AND(IF(metadata!D723="",FALSE,TRUE),exact(metadata!D723,"weeks"))</f>
        <v>0</v>
      </c>
      <c r="Y723">
        <f>AND(IF(metadata!E723="",FALSE,TRUE),exact(metadata!E723,"urban biome"))</f>
        <v>0</v>
      </c>
      <c r="Z723">
        <f>AND(IF(metadata!F723="",FALSE,TRUE),exact(metadata!F723,"animal-associated habitat"))</f>
        <v>0</v>
      </c>
      <c r="AA723">
        <f>AND(IF(metadata!G723="",FALSE,TRUE),exact(metadata!G723,"mouse"))</f>
        <v>0</v>
      </c>
      <c r="AB723">
        <f>AND(IF(metadata!H723="",FALSE,TRUE),exact(metadata!H723,"Mus musculus"))</f>
        <v>0</v>
      </c>
      <c r="AC723">
        <f>AND(IF(metadata!I723="",FALSE,TRUE),exact(metadata!I723,"10090"))</f>
        <v>0</v>
      </c>
      <c r="AD723">
        <f>OR(AND(IF(metadata!J723="",FALSE,TRUE),OR(exact(metadata!J723,"not applicable"),exact(metadata!J723,"missing: not collected"),exact(metadata!J723,"missing: not provided"),exact(metadata!J723,"missing: restricted access"))),AND(IF(metadata!J723="",FALSE,ISNUMBER(VALUE(metadata!J723))),metadata!J723&gt;0))</f>
        <v>0</v>
      </c>
      <c r="AE723">
        <f>AND(IF(metadata!K723="",FALSE,TRUE),exact(metadata!K723,"g"))</f>
        <v>0</v>
      </c>
    </row>
    <row r="724" spans="1:31">
      <c r="A724" s="5">
        <f>IF(B724=" "," ",HYPERLINK(CONCATENATE("#metadata!",ADDRESS(INDEX($Q$2:$Q$1001,MATCH(ROWS($O$2:O724),$O$2:$O$1001,0),0),1)),INDEX($T$2:$T$1001,MATCH(ROWS($O$2:O724),$O$2:$O$1001,0),0)))</f>
        <v>0</v>
      </c>
      <c r="B724" s="4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4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4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4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4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4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4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4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4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4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OR(AND(IF(metadata!C724="",FALSE,TRUE),OR(exact(metadata!C724,"not applicable"),exact(metadata!C724,"missing: not collected"),exact(metadata!C724,"missing: not provided"),exact(metadata!C724,"missing: restricted access"))),AND(IF(metadata!C724="",FALSE,ISNUMBER(VALUE(metadata!C724))),metadata!C724&gt;0))</f>
        <v>0</v>
      </c>
      <c r="X724">
        <f>AND(IF(metadata!D724="",FALSE,TRUE),exact(metadata!D724,"weeks"))</f>
        <v>0</v>
      </c>
      <c r="Y724">
        <f>AND(IF(metadata!E724="",FALSE,TRUE),exact(metadata!E724,"urban biome"))</f>
        <v>0</v>
      </c>
      <c r="Z724">
        <f>AND(IF(metadata!F724="",FALSE,TRUE),exact(metadata!F724,"animal-associated habitat"))</f>
        <v>0</v>
      </c>
      <c r="AA724">
        <f>AND(IF(metadata!G724="",FALSE,TRUE),exact(metadata!G724,"mouse"))</f>
        <v>0</v>
      </c>
      <c r="AB724">
        <f>AND(IF(metadata!H724="",FALSE,TRUE),exact(metadata!H724,"Mus musculus"))</f>
        <v>0</v>
      </c>
      <c r="AC724">
        <f>AND(IF(metadata!I724="",FALSE,TRUE),exact(metadata!I724,"10090"))</f>
        <v>0</v>
      </c>
      <c r="AD724">
        <f>OR(AND(IF(metadata!J724="",FALSE,TRUE),OR(exact(metadata!J724,"not applicable"),exact(metadata!J724,"missing: not collected"),exact(metadata!J724,"missing: not provided"),exact(metadata!J724,"missing: restricted access"))),AND(IF(metadata!J724="",FALSE,ISNUMBER(VALUE(metadata!J724))),metadata!J724&gt;0))</f>
        <v>0</v>
      </c>
      <c r="AE724">
        <f>AND(IF(metadata!K724="",FALSE,TRUE),exact(metadata!K724,"g"))</f>
        <v>0</v>
      </c>
    </row>
    <row r="725" spans="1:31">
      <c r="A725" s="5">
        <f>IF(B725=" "," ",HYPERLINK(CONCATENATE("#metadata!",ADDRESS(INDEX($Q$2:$Q$1001,MATCH(ROWS($O$2:O725),$O$2:$O$1001,0),0),1)),INDEX($T$2:$T$1001,MATCH(ROWS($O$2:O725),$O$2:$O$1001,0),0)))</f>
        <v>0</v>
      </c>
      <c r="B725" s="4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4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4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4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4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4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4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4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4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4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OR(AND(IF(metadata!C725="",FALSE,TRUE),OR(exact(metadata!C725,"not applicable"),exact(metadata!C725,"missing: not collected"),exact(metadata!C725,"missing: not provided"),exact(metadata!C725,"missing: restricted access"))),AND(IF(metadata!C725="",FALSE,ISNUMBER(VALUE(metadata!C725))),metadata!C725&gt;0))</f>
        <v>0</v>
      </c>
      <c r="X725">
        <f>AND(IF(metadata!D725="",FALSE,TRUE),exact(metadata!D725,"weeks"))</f>
        <v>0</v>
      </c>
      <c r="Y725">
        <f>AND(IF(metadata!E725="",FALSE,TRUE),exact(metadata!E725,"urban biome"))</f>
        <v>0</v>
      </c>
      <c r="Z725">
        <f>AND(IF(metadata!F725="",FALSE,TRUE),exact(metadata!F725,"animal-associated habitat"))</f>
        <v>0</v>
      </c>
      <c r="AA725">
        <f>AND(IF(metadata!G725="",FALSE,TRUE),exact(metadata!G725,"mouse"))</f>
        <v>0</v>
      </c>
      <c r="AB725">
        <f>AND(IF(metadata!H725="",FALSE,TRUE),exact(metadata!H725,"Mus musculus"))</f>
        <v>0</v>
      </c>
      <c r="AC725">
        <f>AND(IF(metadata!I725="",FALSE,TRUE),exact(metadata!I725,"10090"))</f>
        <v>0</v>
      </c>
      <c r="AD725">
        <f>OR(AND(IF(metadata!J725="",FALSE,TRUE),OR(exact(metadata!J725,"not applicable"),exact(metadata!J725,"missing: not collected"),exact(metadata!J725,"missing: not provided"),exact(metadata!J725,"missing: restricted access"))),AND(IF(metadata!J725="",FALSE,ISNUMBER(VALUE(metadata!J725))),metadata!J725&gt;0))</f>
        <v>0</v>
      </c>
      <c r="AE725">
        <f>AND(IF(metadata!K725="",FALSE,TRUE),exact(metadata!K725,"g"))</f>
        <v>0</v>
      </c>
    </row>
    <row r="726" spans="1:31">
      <c r="A726" s="5">
        <f>IF(B726=" "," ",HYPERLINK(CONCATENATE("#metadata!",ADDRESS(INDEX($Q$2:$Q$1001,MATCH(ROWS($O$2:O726),$O$2:$O$1001,0),0),1)),INDEX($T$2:$T$1001,MATCH(ROWS($O$2:O726),$O$2:$O$1001,0),0)))</f>
        <v>0</v>
      </c>
      <c r="B726" s="4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4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4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4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4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4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4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4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4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4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OR(AND(IF(metadata!C726="",FALSE,TRUE),OR(exact(metadata!C726,"not applicable"),exact(metadata!C726,"missing: not collected"),exact(metadata!C726,"missing: not provided"),exact(metadata!C726,"missing: restricted access"))),AND(IF(metadata!C726="",FALSE,ISNUMBER(VALUE(metadata!C726))),metadata!C726&gt;0))</f>
        <v>0</v>
      </c>
      <c r="X726">
        <f>AND(IF(metadata!D726="",FALSE,TRUE),exact(metadata!D726,"weeks"))</f>
        <v>0</v>
      </c>
      <c r="Y726">
        <f>AND(IF(metadata!E726="",FALSE,TRUE),exact(metadata!E726,"urban biome"))</f>
        <v>0</v>
      </c>
      <c r="Z726">
        <f>AND(IF(metadata!F726="",FALSE,TRUE),exact(metadata!F726,"animal-associated habitat"))</f>
        <v>0</v>
      </c>
      <c r="AA726">
        <f>AND(IF(metadata!G726="",FALSE,TRUE),exact(metadata!G726,"mouse"))</f>
        <v>0</v>
      </c>
      <c r="AB726">
        <f>AND(IF(metadata!H726="",FALSE,TRUE),exact(metadata!H726,"Mus musculus"))</f>
        <v>0</v>
      </c>
      <c r="AC726">
        <f>AND(IF(metadata!I726="",FALSE,TRUE),exact(metadata!I726,"10090"))</f>
        <v>0</v>
      </c>
      <c r="AD726">
        <f>OR(AND(IF(metadata!J726="",FALSE,TRUE),OR(exact(metadata!J726,"not applicable"),exact(metadata!J726,"missing: not collected"),exact(metadata!J726,"missing: not provided"),exact(metadata!J726,"missing: restricted access"))),AND(IF(metadata!J726="",FALSE,ISNUMBER(VALUE(metadata!J726))),metadata!J726&gt;0))</f>
        <v>0</v>
      </c>
      <c r="AE726">
        <f>AND(IF(metadata!K726="",FALSE,TRUE),exact(metadata!K726,"g"))</f>
        <v>0</v>
      </c>
    </row>
    <row r="727" spans="1:31">
      <c r="A727" s="5">
        <f>IF(B727=" "," ",HYPERLINK(CONCATENATE("#metadata!",ADDRESS(INDEX($Q$2:$Q$1001,MATCH(ROWS($O$2:O727),$O$2:$O$1001,0),0),1)),INDEX($T$2:$T$1001,MATCH(ROWS($O$2:O727),$O$2:$O$1001,0),0)))</f>
        <v>0</v>
      </c>
      <c r="B727" s="4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4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4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4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4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4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4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4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4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4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OR(AND(IF(metadata!C727="",FALSE,TRUE),OR(exact(metadata!C727,"not applicable"),exact(metadata!C727,"missing: not collected"),exact(metadata!C727,"missing: not provided"),exact(metadata!C727,"missing: restricted access"))),AND(IF(metadata!C727="",FALSE,ISNUMBER(VALUE(metadata!C727))),metadata!C727&gt;0))</f>
        <v>0</v>
      </c>
      <c r="X727">
        <f>AND(IF(metadata!D727="",FALSE,TRUE),exact(metadata!D727,"weeks"))</f>
        <v>0</v>
      </c>
      <c r="Y727">
        <f>AND(IF(metadata!E727="",FALSE,TRUE),exact(metadata!E727,"urban biome"))</f>
        <v>0</v>
      </c>
      <c r="Z727">
        <f>AND(IF(metadata!F727="",FALSE,TRUE),exact(metadata!F727,"animal-associated habitat"))</f>
        <v>0</v>
      </c>
      <c r="AA727">
        <f>AND(IF(metadata!G727="",FALSE,TRUE),exact(metadata!G727,"mouse"))</f>
        <v>0</v>
      </c>
      <c r="AB727">
        <f>AND(IF(metadata!H727="",FALSE,TRUE),exact(metadata!H727,"Mus musculus"))</f>
        <v>0</v>
      </c>
      <c r="AC727">
        <f>AND(IF(metadata!I727="",FALSE,TRUE),exact(metadata!I727,"10090"))</f>
        <v>0</v>
      </c>
      <c r="AD727">
        <f>OR(AND(IF(metadata!J727="",FALSE,TRUE),OR(exact(metadata!J727,"not applicable"),exact(metadata!J727,"missing: not collected"),exact(metadata!J727,"missing: not provided"),exact(metadata!J727,"missing: restricted access"))),AND(IF(metadata!J727="",FALSE,ISNUMBER(VALUE(metadata!J727))),metadata!J727&gt;0))</f>
        <v>0</v>
      </c>
      <c r="AE727">
        <f>AND(IF(metadata!K727="",FALSE,TRUE),exact(metadata!K727,"g"))</f>
        <v>0</v>
      </c>
    </row>
    <row r="728" spans="1:31">
      <c r="A728" s="5">
        <f>IF(B728=" "," ",HYPERLINK(CONCATENATE("#metadata!",ADDRESS(INDEX($Q$2:$Q$1001,MATCH(ROWS($O$2:O728),$O$2:$O$1001,0),0),1)),INDEX($T$2:$T$1001,MATCH(ROWS($O$2:O728),$O$2:$O$1001,0),0)))</f>
        <v>0</v>
      </c>
      <c r="B728" s="4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4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4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4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4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4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4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4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4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4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OR(AND(IF(metadata!C728="",FALSE,TRUE),OR(exact(metadata!C728,"not applicable"),exact(metadata!C728,"missing: not collected"),exact(metadata!C728,"missing: not provided"),exact(metadata!C728,"missing: restricted access"))),AND(IF(metadata!C728="",FALSE,ISNUMBER(VALUE(metadata!C728))),metadata!C728&gt;0))</f>
        <v>0</v>
      </c>
      <c r="X728">
        <f>AND(IF(metadata!D728="",FALSE,TRUE),exact(metadata!D728,"weeks"))</f>
        <v>0</v>
      </c>
      <c r="Y728">
        <f>AND(IF(metadata!E728="",FALSE,TRUE),exact(metadata!E728,"urban biome"))</f>
        <v>0</v>
      </c>
      <c r="Z728">
        <f>AND(IF(metadata!F728="",FALSE,TRUE),exact(metadata!F728,"animal-associated habitat"))</f>
        <v>0</v>
      </c>
      <c r="AA728">
        <f>AND(IF(metadata!G728="",FALSE,TRUE),exact(metadata!G728,"mouse"))</f>
        <v>0</v>
      </c>
      <c r="AB728">
        <f>AND(IF(metadata!H728="",FALSE,TRUE),exact(metadata!H728,"Mus musculus"))</f>
        <v>0</v>
      </c>
      <c r="AC728">
        <f>AND(IF(metadata!I728="",FALSE,TRUE),exact(metadata!I728,"10090"))</f>
        <v>0</v>
      </c>
      <c r="AD728">
        <f>OR(AND(IF(metadata!J728="",FALSE,TRUE),OR(exact(metadata!J728,"not applicable"),exact(metadata!J728,"missing: not collected"),exact(metadata!J728,"missing: not provided"),exact(metadata!J728,"missing: restricted access"))),AND(IF(metadata!J728="",FALSE,ISNUMBER(VALUE(metadata!J728))),metadata!J728&gt;0))</f>
        <v>0</v>
      </c>
      <c r="AE728">
        <f>AND(IF(metadata!K728="",FALSE,TRUE),exact(metadata!K728,"g"))</f>
        <v>0</v>
      </c>
    </row>
    <row r="729" spans="1:31">
      <c r="A729" s="5">
        <f>IF(B729=" "," ",HYPERLINK(CONCATENATE("#metadata!",ADDRESS(INDEX($Q$2:$Q$1001,MATCH(ROWS($O$2:O729),$O$2:$O$1001,0),0),1)),INDEX($T$2:$T$1001,MATCH(ROWS($O$2:O729),$O$2:$O$1001,0),0)))</f>
        <v>0</v>
      </c>
      <c r="B729" s="4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4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4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4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4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4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4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4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4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4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OR(AND(IF(metadata!C729="",FALSE,TRUE),OR(exact(metadata!C729,"not applicable"),exact(metadata!C729,"missing: not collected"),exact(metadata!C729,"missing: not provided"),exact(metadata!C729,"missing: restricted access"))),AND(IF(metadata!C729="",FALSE,ISNUMBER(VALUE(metadata!C729))),metadata!C729&gt;0))</f>
        <v>0</v>
      </c>
      <c r="X729">
        <f>AND(IF(metadata!D729="",FALSE,TRUE),exact(metadata!D729,"weeks"))</f>
        <v>0</v>
      </c>
      <c r="Y729">
        <f>AND(IF(metadata!E729="",FALSE,TRUE),exact(metadata!E729,"urban biome"))</f>
        <v>0</v>
      </c>
      <c r="Z729">
        <f>AND(IF(metadata!F729="",FALSE,TRUE),exact(metadata!F729,"animal-associated habitat"))</f>
        <v>0</v>
      </c>
      <c r="AA729">
        <f>AND(IF(metadata!G729="",FALSE,TRUE),exact(metadata!G729,"mouse"))</f>
        <v>0</v>
      </c>
      <c r="AB729">
        <f>AND(IF(metadata!H729="",FALSE,TRUE),exact(metadata!H729,"Mus musculus"))</f>
        <v>0</v>
      </c>
      <c r="AC729">
        <f>AND(IF(metadata!I729="",FALSE,TRUE),exact(metadata!I729,"10090"))</f>
        <v>0</v>
      </c>
      <c r="AD729">
        <f>OR(AND(IF(metadata!J729="",FALSE,TRUE),OR(exact(metadata!J729,"not applicable"),exact(metadata!J729,"missing: not collected"),exact(metadata!J729,"missing: not provided"),exact(metadata!J729,"missing: restricted access"))),AND(IF(metadata!J729="",FALSE,ISNUMBER(VALUE(metadata!J729))),metadata!J729&gt;0))</f>
        <v>0</v>
      </c>
      <c r="AE729">
        <f>AND(IF(metadata!K729="",FALSE,TRUE),exact(metadata!K729,"g"))</f>
        <v>0</v>
      </c>
    </row>
    <row r="730" spans="1:31">
      <c r="A730" s="5">
        <f>IF(B730=" "," ",HYPERLINK(CONCATENATE("#metadata!",ADDRESS(INDEX($Q$2:$Q$1001,MATCH(ROWS($O$2:O730),$O$2:$O$1001,0),0),1)),INDEX($T$2:$T$1001,MATCH(ROWS($O$2:O730),$O$2:$O$1001,0),0)))</f>
        <v>0</v>
      </c>
      <c r="B730" s="4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4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4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4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4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4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4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4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4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4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OR(AND(IF(metadata!C730="",FALSE,TRUE),OR(exact(metadata!C730,"not applicable"),exact(metadata!C730,"missing: not collected"),exact(metadata!C730,"missing: not provided"),exact(metadata!C730,"missing: restricted access"))),AND(IF(metadata!C730="",FALSE,ISNUMBER(VALUE(metadata!C730))),metadata!C730&gt;0))</f>
        <v>0</v>
      </c>
      <c r="X730">
        <f>AND(IF(metadata!D730="",FALSE,TRUE),exact(metadata!D730,"weeks"))</f>
        <v>0</v>
      </c>
      <c r="Y730">
        <f>AND(IF(metadata!E730="",FALSE,TRUE),exact(metadata!E730,"urban biome"))</f>
        <v>0</v>
      </c>
      <c r="Z730">
        <f>AND(IF(metadata!F730="",FALSE,TRUE),exact(metadata!F730,"animal-associated habitat"))</f>
        <v>0</v>
      </c>
      <c r="AA730">
        <f>AND(IF(metadata!G730="",FALSE,TRUE),exact(metadata!G730,"mouse"))</f>
        <v>0</v>
      </c>
      <c r="AB730">
        <f>AND(IF(metadata!H730="",FALSE,TRUE),exact(metadata!H730,"Mus musculus"))</f>
        <v>0</v>
      </c>
      <c r="AC730">
        <f>AND(IF(metadata!I730="",FALSE,TRUE),exact(metadata!I730,"10090"))</f>
        <v>0</v>
      </c>
      <c r="AD730">
        <f>OR(AND(IF(metadata!J730="",FALSE,TRUE),OR(exact(metadata!J730,"not applicable"),exact(metadata!J730,"missing: not collected"),exact(metadata!J730,"missing: not provided"),exact(metadata!J730,"missing: restricted access"))),AND(IF(metadata!J730="",FALSE,ISNUMBER(VALUE(metadata!J730))),metadata!J730&gt;0))</f>
        <v>0</v>
      </c>
      <c r="AE730">
        <f>AND(IF(metadata!K730="",FALSE,TRUE),exact(metadata!K730,"g"))</f>
        <v>0</v>
      </c>
    </row>
    <row r="731" spans="1:31">
      <c r="A731" s="5">
        <f>IF(B731=" "," ",HYPERLINK(CONCATENATE("#metadata!",ADDRESS(INDEX($Q$2:$Q$1001,MATCH(ROWS($O$2:O731),$O$2:$O$1001,0),0),1)),INDEX($T$2:$T$1001,MATCH(ROWS($O$2:O731),$O$2:$O$1001,0),0)))</f>
        <v>0</v>
      </c>
      <c r="B731" s="4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4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4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4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4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4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4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4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4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4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OR(AND(IF(metadata!C731="",FALSE,TRUE),OR(exact(metadata!C731,"not applicable"),exact(metadata!C731,"missing: not collected"),exact(metadata!C731,"missing: not provided"),exact(metadata!C731,"missing: restricted access"))),AND(IF(metadata!C731="",FALSE,ISNUMBER(VALUE(metadata!C731))),metadata!C731&gt;0))</f>
        <v>0</v>
      </c>
      <c r="X731">
        <f>AND(IF(metadata!D731="",FALSE,TRUE),exact(metadata!D731,"weeks"))</f>
        <v>0</v>
      </c>
      <c r="Y731">
        <f>AND(IF(metadata!E731="",FALSE,TRUE),exact(metadata!E731,"urban biome"))</f>
        <v>0</v>
      </c>
      <c r="Z731">
        <f>AND(IF(metadata!F731="",FALSE,TRUE),exact(metadata!F731,"animal-associated habitat"))</f>
        <v>0</v>
      </c>
      <c r="AA731">
        <f>AND(IF(metadata!G731="",FALSE,TRUE),exact(metadata!G731,"mouse"))</f>
        <v>0</v>
      </c>
      <c r="AB731">
        <f>AND(IF(metadata!H731="",FALSE,TRUE),exact(metadata!H731,"Mus musculus"))</f>
        <v>0</v>
      </c>
      <c r="AC731">
        <f>AND(IF(metadata!I731="",FALSE,TRUE),exact(metadata!I731,"10090"))</f>
        <v>0</v>
      </c>
      <c r="AD731">
        <f>OR(AND(IF(metadata!J731="",FALSE,TRUE),OR(exact(metadata!J731,"not applicable"),exact(metadata!J731,"missing: not collected"),exact(metadata!J731,"missing: not provided"),exact(metadata!J731,"missing: restricted access"))),AND(IF(metadata!J731="",FALSE,ISNUMBER(VALUE(metadata!J731))),metadata!J731&gt;0))</f>
        <v>0</v>
      </c>
      <c r="AE731">
        <f>AND(IF(metadata!K731="",FALSE,TRUE),exact(metadata!K731,"g"))</f>
        <v>0</v>
      </c>
    </row>
    <row r="732" spans="1:31">
      <c r="A732" s="5">
        <f>IF(B732=" "," ",HYPERLINK(CONCATENATE("#metadata!",ADDRESS(INDEX($Q$2:$Q$1001,MATCH(ROWS($O$2:O732),$O$2:$O$1001,0),0),1)),INDEX($T$2:$T$1001,MATCH(ROWS($O$2:O732),$O$2:$O$1001,0),0)))</f>
        <v>0</v>
      </c>
      <c r="B732" s="4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4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4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4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4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4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4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4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4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4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OR(AND(IF(metadata!C732="",FALSE,TRUE),OR(exact(metadata!C732,"not applicable"),exact(metadata!C732,"missing: not collected"),exact(metadata!C732,"missing: not provided"),exact(metadata!C732,"missing: restricted access"))),AND(IF(metadata!C732="",FALSE,ISNUMBER(VALUE(metadata!C732))),metadata!C732&gt;0))</f>
        <v>0</v>
      </c>
      <c r="X732">
        <f>AND(IF(metadata!D732="",FALSE,TRUE),exact(metadata!D732,"weeks"))</f>
        <v>0</v>
      </c>
      <c r="Y732">
        <f>AND(IF(metadata!E732="",FALSE,TRUE),exact(metadata!E732,"urban biome"))</f>
        <v>0</v>
      </c>
      <c r="Z732">
        <f>AND(IF(metadata!F732="",FALSE,TRUE),exact(metadata!F732,"animal-associated habitat"))</f>
        <v>0</v>
      </c>
      <c r="AA732">
        <f>AND(IF(metadata!G732="",FALSE,TRUE),exact(metadata!G732,"mouse"))</f>
        <v>0</v>
      </c>
      <c r="AB732">
        <f>AND(IF(metadata!H732="",FALSE,TRUE),exact(metadata!H732,"Mus musculus"))</f>
        <v>0</v>
      </c>
      <c r="AC732">
        <f>AND(IF(metadata!I732="",FALSE,TRUE),exact(metadata!I732,"10090"))</f>
        <v>0</v>
      </c>
      <c r="AD732">
        <f>OR(AND(IF(metadata!J732="",FALSE,TRUE),OR(exact(metadata!J732,"not applicable"),exact(metadata!J732,"missing: not collected"),exact(metadata!J732,"missing: not provided"),exact(metadata!J732,"missing: restricted access"))),AND(IF(metadata!J732="",FALSE,ISNUMBER(VALUE(metadata!J732))),metadata!J732&gt;0))</f>
        <v>0</v>
      </c>
      <c r="AE732">
        <f>AND(IF(metadata!K732="",FALSE,TRUE),exact(metadata!K732,"g"))</f>
        <v>0</v>
      </c>
    </row>
    <row r="733" spans="1:31">
      <c r="A733" s="5">
        <f>IF(B733=" "," ",HYPERLINK(CONCATENATE("#metadata!",ADDRESS(INDEX($Q$2:$Q$1001,MATCH(ROWS($O$2:O733),$O$2:$O$1001,0),0),1)),INDEX($T$2:$T$1001,MATCH(ROWS($O$2:O733),$O$2:$O$1001,0),0)))</f>
        <v>0</v>
      </c>
      <c r="B733" s="4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4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4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4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4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4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4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4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4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4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OR(AND(IF(metadata!C733="",FALSE,TRUE),OR(exact(metadata!C733,"not applicable"),exact(metadata!C733,"missing: not collected"),exact(metadata!C733,"missing: not provided"),exact(metadata!C733,"missing: restricted access"))),AND(IF(metadata!C733="",FALSE,ISNUMBER(VALUE(metadata!C733))),metadata!C733&gt;0))</f>
        <v>0</v>
      </c>
      <c r="X733">
        <f>AND(IF(metadata!D733="",FALSE,TRUE),exact(metadata!D733,"weeks"))</f>
        <v>0</v>
      </c>
      <c r="Y733">
        <f>AND(IF(metadata!E733="",FALSE,TRUE),exact(metadata!E733,"urban biome"))</f>
        <v>0</v>
      </c>
      <c r="Z733">
        <f>AND(IF(metadata!F733="",FALSE,TRUE),exact(metadata!F733,"animal-associated habitat"))</f>
        <v>0</v>
      </c>
      <c r="AA733">
        <f>AND(IF(metadata!G733="",FALSE,TRUE),exact(metadata!G733,"mouse"))</f>
        <v>0</v>
      </c>
      <c r="AB733">
        <f>AND(IF(metadata!H733="",FALSE,TRUE),exact(metadata!H733,"Mus musculus"))</f>
        <v>0</v>
      </c>
      <c r="AC733">
        <f>AND(IF(metadata!I733="",FALSE,TRUE),exact(metadata!I733,"10090"))</f>
        <v>0</v>
      </c>
      <c r="AD733">
        <f>OR(AND(IF(metadata!J733="",FALSE,TRUE),OR(exact(metadata!J733,"not applicable"),exact(metadata!J733,"missing: not collected"),exact(metadata!J733,"missing: not provided"),exact(metadata!J733,"missing: restricted access"))),AND(IF(metadata!J733="",FALSE,ISNUMBER(VALUE(metadata!J733))),metadata!J733&gt;0))</f>
        <v>0</v>
      </c>
      <c r="AE733">
        <f>AND(IF(metadata!K733="",FALSE,TRUE),exact(metadata!K733,"g"))</f>
        <v>0</v>
      </c>
    </row>
    <row r="734" spans="1:31">
      <c r="A734" s="5">
        <f>IF(B734=" "," ",HYPERLINK(CONCATENATE("#metadata!",ADDRESS(INDEX($Q$2:$Q$1001,MATCH(ROWS($O$2:O734),$O$2:$O$1001,0),0),1)),INDEX($T$2:$T$1001,MATCH(ROWS($O$2:O734),$O$2:$O$1001,0),0)))</f>
        <v>0</v>
      </c>
      <c r="B734" s="4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4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4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4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4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4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4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4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4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4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OR(AND(IF(metadata!C734="",FALSE,TRUE),OR(exact(metadata!C734,"not applicable"),exact(metadata!C734,"missing: not collected"),exact(metadata!C734,"missing: not provided"),exact(metadata!C734,"missing: restricted access"))),AND(IF(metadata!C734="",FALSE,ISNUMBER(VALUE(metadata!C734))),metadata!C734&gt;0))</f>
        <v>0</v>
      </c>
      <c r="X734">
        <f>AND(IF(metadata!D734="",FALSE,TRUE),exact(metadata!D734,"weeks"))</f>
        <v>0</v>
      </c>
      <c r="Y734">
        <f>AND(IF(metadata!E734="",FALSE,TRUE),exact(metadata!E734,"urban biome"))</f>
        <v>0</v>
      </c>
      <c r="Z734">
        <f>AND(IF(metadata!F734="",FALSE,TRUE),exact(metadata!F734,"animal-associated habitat"))</f>
        <v>0</v>
      </c>
      <c r="AA734">
        <f>AND(IF(metadata!G734="",FALSE,TRUE),exact(metadata!G734,"mouse"))</f>
        <v>0</v>
      </c>
      <c r="AB734">
        <f>AND(IF(metadata!H734="",FALSE,TRUE),exact(metadata!H734,"Mus musculus"))</f>
        <v>0</v>
      </c>
      <c r="AC734">
        <f>AND(IF(metadata!I734="",FALSE,TRUE),exact(metadata!I734,"10090"))</f>
        <v>0</v>
      </c>
      <c r="AD734">
        <f>OR(AND(IF(metadata!J734="",FALSE,TRUE),OR(exact(metadata!J734,"not applicable"),exact(metadata!J734,"missing: not collected"),exact(metadata!J734,"missing: not provided"),exact(metadata!J734,"missing: restricted access"))),AND(IF(metadata!J734="",FALSE,ISNUMBER(VALUE(metadata!J734))),metadata!J734&gt;0))</f>
        <v>0</v>
      </c>
      <c r="AE734">
        <f>AND(IF(metadata!K734="",FALSE,TRUE),exact(metadata!K734,"g"))</f>
        <v>0</v>
      </c>
    </row>
    <row r="735" spans="1:31">
      <c r="A735" s="5">
        <f>IF(B735=" "," ",HYPERLINK(CONCATENATE("#metadata!",ADDRESS(INDEX($Q$2:$Q$1001,MATCH(ROWS($O$2:O735),$O$2:$O$1001,0),0),1)),INDEX($T$2:$T$1001,MATCH(ROWS($O$2:O735),$O$2:$O$1001,0),0)))</f>
        <v>0</v>
      </c>
      <c r="B735" s="4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4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4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4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4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4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4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4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4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4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OR(AND(IF(metadata!C735="",FALSE,TRUE),OR(exact(metadata!C735,"not applicable"),exact(metadata!C735,"missing: not collected"),exact(metadata!C735,"missing: not provided"),exact(metadata!C735,"missing: restricted access"))),AND(IF(metadata!C735="",FALSE,ISNUMBER(VALUE(metadata!C735))),metadata!C735&gt;0))</f>
        <v>0</v>
      </c>
      <c r="X735">
        <f>AND(IF(metadata!D735="",FALSE,TRUE),exact(metadata!D735,"weeks"))</f>
        <v>0</v>
      </c>
      <c r="Y735">
        <f>AND(IF(metadata!E735="",FALSE,TRUE),exact(metadata!E735,"urban biome"))</f>
        <v>0</v>
      </c>
      <c r="Z735">
        <f>AND(IF(metadata!F735="",FALSE,TRUE),exact(metadata!F735,"animal-associated habitat"))</f>
        <v>0</v>
      </c>
      <c r="AA735">
        <f>AND(IF(metadata!G735="",FALSE,TRUE),exact(metadata!G735,"mouse"))</f>
        <v>0</v>
      </c>
      <c r="AB735">
        <f>AND(IF(metadata!H735="",FALSE,TRUE),exact(metadata!H735,"Mus musculus"))</f>
        <v>0</v>
      </c>
      <c r="AC735">
        <f>AND(IF(metadata!I735="",FALSE,TRUE),exact(metadata!I735,"10090"))</f>
        <v>0</v>
      </c>
      <c r="AD735">
        <f>OR(AND(IF(metadata!J735="",FALSE,TRUE),OR(exact(metadata!J735,"not applicable"),exact(metadata!J735,"missing: not collected"),exact(metadata!J735,"missing: not provided"),exact(metadata!J735,"missing: restricted access"))),AND(IF(metadata!J735="",FALSE,ISNUMBER(VALUE(metadata!J735))),metadata!J735&gt;0))</f>
        <v>0</v>
      </c>
      <c r="AE735">
        <f>AND(IF(metadata!K735="",FALSE,TRUE),exact(metadata!K735,"g"))</f>
        <v>0</v>
      </c>
    </row>
    <row r="736" spans="1:31">
      <c r="A736" s="5">
        <f>IF(B736=" "," ",HYPERLINK(CONCATENATE("#metadata!",ADDRESS(INDEX($Q$2:$Q$1001,MATCH(ROWS($O$2:O736),$O$2:$O$1001,0),0),1)),INDEX($T$2:$T$1001,MATCH(ROWS($O$2:O736),$O$2:$O$1001,0),0)))</f>
        <v>0</v>
      </c>
      <c r="B736" s="4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4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4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4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4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4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4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4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4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4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OR(AND(IF(metadata!C736="",FALSE,TRUE),OR(exact(metadata!C736,"not applicable"),exact(metadata!C736,"missing: not collected"),exact(metadata!C736,"missing: not provided"),exact(metadata!C736,"missing: restricted access"))),AND(IF(metadata!C736="",FALSE,ISNUMBER(VALUE(metadata!C736))),metadata!C736&gt;0))</f>
        <v>0</v>
      </c>
      <c r="X736">
        <f>AND(IF(metadata!D736="",FALSE,TRUE),exact(metadata!D736,"weeks"))</f>
        <v>0</v>
      </c>
      <c r="Y736">
        <f>AND(IF(metadata!E736="",FALSE,TRUE),exact(metadata!E736,"urban biome"))</f>
        <v>0</v>
      </c>
      <c r="Z736">
        <f>AND(IF(metadata!F736="",FALSE,TRUE),exact(metadata!F736,"animal-associated habitat"))</f>
        <v>0</v>
      </c>
      <c r="AA736">
        <f>AND(IF(metadata!G736="",FALSE,TRUE),exact(metadata!G736,"mouse"))</f>
        <v>0</v>
      </c>
      <c r="AB736">
        <f>AND(IF(metadata!H736="",FALSE,TRUE),exact(metadata!H736,"Mus musculus"))</f>
        <v>0</v>
      </c>
      <c r="AC736">
        <f>AND(IF(metadata!I736="",FALSE,TRUE),exact(metadata!I736,"10090"))</f>
        <v>0</v>
      </c>
      <c r="AD736">
        <f>OR(AND(IF(metadata!J736="",FALSE,TRUE),OR(exact(metadata!J736,"not applicable"),exact(metadata!J736,"missing: not collected"),exact(metadata!J736,"missing: not provided"),exact(metadata!J736,"missing: restricted access"))),AND(IF(metadata!J736="",FALSE,ISNUMBER(VALUE(metadata!J736))),metadata!J736&gt;0))</f>
        <v>0</v>
      </c>
      <c r="AE736">
        <f>AND(IF(metadata!K736="",FALSE,TRUE),exact(metadata!K736,"g"))</f>
        <v>0</v>
      </c>
    </row>
    <row r="737" spans="1:31">
      <c r="A737" s="5">
        <f>IF(B737=" "," ",HYPERLINK(CONCATENATE("#metadata!",ADDRESS(INDEX($Q$2:$Q$1001,MATCH(ROWS($O$2:O737),$O$2:$O$1001,0),0),1)),INDEX($T$2:$T$1001,MATCH(ROWS($O$2:O737),$O$2:$O$1001,0),0)))</f>
        <v>0</v>
      </c>
      <c r="B737" s="4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4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4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4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4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4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4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4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4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4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OR(AND(IF(metadata!C737="",FALSE,TRUE),OR(exact(metadata!C737,"not applicable"),exact(metadata!C737,"missing: not collected"),exact(metadata!C737,"missing: not provided"),exact(metadata!C737,"missing: restricted access"))),AND(IF(metadata!C737="",FALSE,ISNUMBER(VALUE(metadata!C737))),metadata!C737&gt;0))</f>
        <v>0</v>
      </c>
      <c r="X737">
        <f>AND(IF(metadata!D737="",FALSE,TRUE),exact(metadata!D737,"weeks"))</f>
        <v>0</v>
      </c>
      <c r="Y737">
        <f>AND(IF(metadata!E737="",FALSE,TRUE),exact(metadata!E737,"urban biome"))</f>
        <v>0</v>
      </c>
      <c r="Z737">
        <f>AND(IF(metadata!F737="",FALSE,TRUE),exact(metadata!F737,"animal-associated habitat"))</f>
        <v>0</v>
      </c>
      <c r="AA737">
        <f>AND(IF(metadata!G737="",FALSE,TRUE),exact(metadata!G737,"mouse"))</f>
        <v>0</v>
      </c>
      <c r="AB737">
        <f>AND(IF(metadata!H737="",FALSE,TRUE),exact(metadata!H737,"Mus musculus"))</f>
        <v>0</v>
      </c>
      <c r="AC737">
        <f>AND(IF(metadata!I737="",FALSE,TRUE),exact(metadata!I737,"10090"))</f>
        <v>0</v>
      </c>
      <c r="AD737">
        <f>OR(AND(IF(metadata!J737="",FALSE,TRUE),OR(exact(metadata!J737,"not applicable"),exact(metadata!J737,"missing: not collected"),exact(metadata!J737,"missing: not provided"),exact(metadata!J737,"missing: restricted access"))),AND(IF(metadata!J737="",FALSE,ISNUMBER(VALUE(metadata!J737))),metadata!J737&gt;0))</f>
        <v>0</v>
      </c>
      <c r="AE737">
        <f>AND(IF(metadata!K737="",FALSE,TRUE),exact(metadata!K737,"g"))</f>
        <v>0</v>
      </c>
    </row>
    <row r="738" spans="1:31">
      <c r="A738" s="5">
        <f>IF(B738=" "," ",HYPERLINK(CONCATENATE("#metadata!",ADDRESS(INDEX($Q$2:$Q$1001,MATCH(ROWS($O$2:O738),$O$2:$O$1001,0),0),1)),INDEX($T$2:$T$1001,MATCH(ROWS($O$2:O738),$O$2:$O$1001,0),0)))</f>
        <v>0</v>
      </c>
      <c r="B738" s="4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4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4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4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4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4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4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4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4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4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OR(AND(IF(metadata!C738="",FALSE,TRUE),OR(exact(metadata!C738,"not applicable"),exact(metadata!C738,"missing: not collected"),exact(metadata!C738,"missing: not provided"),exact(metadata!C738,"missing: restricted access"))),AND(IF(metadata!C738="",FALSE,ISNUMBER(VALUE(metadata!C738))),metadata!C738&gt;0))</f>
        <v>0</v>
      </c>
      <c r="X738">
        <f>AND(IF(metadata!D738="",FALSE,TRUE),exact(metadata!D738,"weeks"))</f>
        <v>0</v>
      </c>
      <c r="Y738">
        <f>AND(IF(metadata!E738="",FALSE,TRUE),exact(metadata!E738,"urban biome"))</f>
        <v>0</v>
      </c>
      <c r="Z738">
        <f>AND(IF(metadata!F738="",FALSE,TRUE),exact(metadata!F738,"animal-associated habitat"))</f>
        <v>0</v>
      </c>
      <c r="AA738">
        <f>AND(IF(metadata!G738="",FALSE,TRUE),exact(metadata!G738,"mouse"))</f>
        <v>0</v>
      </c>
      <c r="AB738">
        <f>AND(IF(metadata!H738="",FALSE,TRUE),exact(metadata!H738,"Mus musculus"))</f>
        <v>0</v>
      </c>
      <c r="AC738">
        <f>AND(IF(metadata!I738="",FALSE,TRUE),exact(metadata!I738,"10090"))</f>
        <v>0</v>
      </c>
      <c r="AD738">
        <f>OR(AND(IF(metadata!J738="",FALSE,TRUE),OR(exact(metadata!J738,"not applicable"),exact(metadata!J738,"missing: not collected"),exact(metadata!J738,"missing: not provided"),exact(metadata!J738,"missing: restricted access"))),AND(IF(metadata!J738="",FALSE,ISNUMBER(VALUE(metadata!J738))),metadata!J738&gt;0))</f>
        <v>0</v>
      </c>
      <c r="AE738">
        <f>AND(IF(metadata!K738="",FALSE,TRUE),exact(metadata!K738,"g"))</f>
        <v>0</v>
      </c>
    </row>
    <row r="739" spans="1:31">
      <c r="A739" s="5">
        <f>IF(B739=" "," ",HYPERLINK(CONCATENATE("#metadata!",ADDRESS(INDEX($Q$2:$Q$1001,MATCH(ROWS($O$2:O739),$O$2:$O$1001,0),0),1)),INDEX($T$2:$T$1001,MATCH(ROWS($O$2:O739),$O$2:$O$1001,0),0)))</f>
        <v>0</v>
      </c>
      <c r="B739" s="4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4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4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4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4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4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4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4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4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4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OR(AND(IF(metadata!C739="",FALSE,TRUE),OR(exact(metadata!C739,"not applicable"),exact(metadata!C739,"missing: not collected"),exact(metadata!C739,"missing: not provided"),exact(metadata!C739,"missing: restricted access"))),AND(IF(metadata!C739="",FALSE,ISNUMBER(VALUE(metadata!C739))),metadata!C739&gt;0))</f>
        <v>0</v>
      </c>
      <c r="X739">
        <f>AND(IF(metadata!D739="",FALSE,TRUE),exact(metadata!D739,"weeks"))</f>
        <v>0</v>
      </c>
      <c r="Y739">
        <f>AND(IF(metadata!E739="",FALSE,TRUE),exact(metadata!E739,"urban biome"))</f>
        <v>0</v>
      </c>
      <c r="Z739">
        <f>AND(IF(metadata!F739="",FALSE,TRUE),exact(metadata!F739,"animal-associated habitat"))</f>
        <v>0</v>
      </c>
      <c r="AA739">
        <f>AND(IF(metadata!G739="",FALSE,TRUE),exact(metadata!G739,"mouse"))</f>
        <v>0</v>
      </c>
      <c r="AB739">
        <f>AND(IF(metadata!H739="",FALSE,TRUE),exact(metadata!H739,"Mus musculus"))</f>
        <v>0</v>
      </c>
      <c r="AC739">
        <f>AND(IF(metadata!I739="",FALSE,TRUE),exact(metadata!I739,"10090"))</f>
        <v>0</v>
      </c>
      <c r="AD739">
        <f>OR(AND(IF(metadata!J739="",FALSE,TRUE),OR(exact(metadata!J739,"not applicable"),exact(metadata!J739,"missing: not collected"),exact(metadata!J739,"missing: not provided"),exact(metadata!J739,"missing: restricted access"))),AND(IF(metadata!J739="",FALSE,ISNUMBER(VALUE(metadata!J739))),metadata!J739&gt;0))</f>
        <v>0</v>
      </c>
      <c r="AE739">
        <f>AND(IF(metadata!K739="",FALSE,TRUE),exact(metadata!K739,"g"))</f>
        <v>0</v>
      </c>
    </row>
    <row r="740" spans="1:31">
      <c r="A740" s="5">
        <f>IF(B740=" "," ",HYPERLINK(CONCATENATE("#metadata!",ADDRESS(INDEX($Q$2:$Q$1001,MATCH(ROWS($O$2:O740),$O$2:$O$1001,0),0),1)),INDEX($T$2:$T$1001,MATCH(ROWS($O$2:O740),$O$2:$O$1001,0),0)))</f>
        <v>0</v>
      </c>
      <c r="B740" s="4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4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4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4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4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4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4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4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4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4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OR(AND(IF(metadata!C740="",FALSE,TRUE),OR(exact(metadata!C740,"not applicable"),exact(metadata!C740,"missing: not collected"),exact(metadata!C740,"missing: not provided"),exact(metadata!C740,"missing: restricted access"))),AND(IF(metadata!C740="",FALSE,ISNUMBER(VALUE(metadata!C740))),metadata!C740&gt;0))</f>
        <v>0</v>
      </c>
      <c r="X740">
        <f>AND(IF(metadata!D740="",FALSE,TRUE),exact(metadata!D740,"weeks"))</f>
        <v>0</v>
      </c>
      <c r="Y740">
        <f>AND(IF(metadata!E740="",FALSE,TRUE),exact(metadata!E740,"urban biome"))</f>
        <v>0</v>
      </c>
      <c r="Z740">
        <f>AND(IF(metadata!F740="",FALSE,TRUE),exact(metadata!F740,"animal-associated habitat"))</f>
        <v>0</v>
      </c>
      <c r="AA740">
        <f>AND(IF(metadata!G740="",FALSE,TRUE),exact(metadata!G740,"mouse"))</f>
        <v>0</v>
      </c>
      <c r="AB740">
        <f>AND(IF(metadata!H740="",FALSE,TRUE),exact(metadata!H740,"Mus musculus"))</f>
        <v>0</v>
      </c>
      <c r="AC740">
        <f>AND(IF(metadata!I740="",FALSE,TRUE),exact(metadata!I740,"10090"))</f>
        <v>0</v>
      </c>
      <c r="AD740">
        <f>OR(AND(IF(metadata!J740="",FALSE,TRUE),OR(exact(metadata!J740,"not applicable"),exact(metadata!J740,"missing: not collected"),exact(metadata!J740,"missing: not provided"),exact(metadata!J740,"missing: restricted access"))),AND(IF(metadata!J740="",FALSE,ISNUMBER(VALUE(metadata!J740))),metadata!J740&gt;0))</f>
        <v>0</v>
      </c>
      <c r="AE740">
        <f>AND(IF(metadata!K740="",FALSE,TRUE),exact(metadata!K740,"g"))</f>
        <v>0</v>
      </c>
    </row>
    <row r="741" spans="1:31">
      <c r="A741" s="5">
        <f>IF(B741=" "," ",HYPERLINK(CONCATENATE("#metadata!",ADDRESS(INDEX($Q$2:$Q$1001,MATCH(ROWS($O$2:O741),$O$2:$O$1001,0),0),1)),INDEX($T$2:$T$1001,MATCH(ROWS($O$2:O741),$O$2:$O$1001,0),0)))</f>
        <v>0</v>
      </c>
      <c r="B741" s="4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4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4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4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4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4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4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4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4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4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OR(AND(IF(metadata!C741="",FALSE,TRUE),OR(exact(metadata!C741,"not applicable"),exact(metadata!C741,"missing: not collected"),exact(metadata!C741,"missing: not provided"),exact(metadata!C741,"missing: restricted access"))),AND(IF(metadata!C741="",FALSE,ISNUMBER(VALUE(metadata!C741))),metadata!C741&gt;0))</f>
        <v>0</v>
      </c>
      <c r="X741">
        <f>AND(IF(metadata!D741="",FALSE,TRUE),exact(metadata!D741,"weeks"))</f>
        <v>0</v>
      </c>
      <c r="Y741">
        <f>AND(IF(metadata!E741="",FALSE,TRUE),exact(metadata!E741,"urban biome"))</f>
        <v>0</v>
      </c>
      <c r="Z741">
        <f>AND(IF(metadata!F741="",FALSE,TRUE),exact(metadata!F741,"animal-associated habitat"))</f>
        <v>0</v>
      </c>
      <c r="AA741">
        <f>AND(IF(metadata!G741="",FALSE,TRUE),exact(metadata!G741,"mouse"))</f>
        <v>0</v>
      </c>
      <c r="AB741">
        <f>AND(IF(metadata!H741="",FALSE,TRUE),exact(metadata!H741,"Mus musculus"))</f>
        <v>0</v>
      </c>
      <c r="AC741">
        <f>AND(IF(metadata!I741="",FALSE,TRUE),exact(metadata!I741,"10090"))</f>
        <v>0</v>
      </c>
      <c r="AD741">
        <f>OR(AND(IF(metadata!J741="",FALSE,TRUE),OR(exact(metadata!J741,"not applicable"),exact(metadata!J741,"missing: not collected"),exact(metadata!J741,"missing: not provided"),exact(metadata!J741,"missing: restricted access"))),AND(IF(metadata!J741="",FALSE,ISNUMBER(VALUE(metadata!J741))),metadata!J741&gt;0))</f>
        <v>0</v>
      </c>
      <c r="AE741">
        <f>AND(IF(metadata!K741="",FALSE,TRUE),exact(metadata!K741,"g"))</f>
        <v>0</v>
      </c>
    </row>
    <row r="742" spans="1:31">
      <c r="A742" s="5">
        <f>IF(B742=" "," ",HYPERLINK(CONCATENATE("#metadata!",ADDRESS(INDEX($Q$2:$Q$1001,MATCH(ROWS($O$2:O742),$O$2:$O$1001,0),0),1)),INDEX($T$2:$T$1001,MATCH(ROWS($O$2:O742),$O$2:$O$1001,0),0)))</f>
        <v>0</v>
      </c>
      <c r="B742" s="4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4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4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4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4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4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4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4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4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4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OR(AND(IF(metadata!C742="",FALSE,TRUE),OR(exact(metadata!C742,"not applicable"),exact(metadata!C742,"missing: not collected"),exact(metadata!C742,"missing: not provided"),exact(metadata!C742,"missing: restricted access"))),AND(IF(metadata!C742="",FALSE,ISNUMBER(VALUE(metadata!C742))),metadata!C742&gt;0))</f>
        <v>0</v>
      </c>
      <c r="X742">
        <f>AND(IF(metadata!D742="",FALSE,TRUE),exact(metadata!D742,"weeks"))</f>
        <v>0</v>
      </c>
      <c r="Y742">
        <f>AND(IF(metadata!E742="",FALSE,TRUE),exact(metadata!E742,"urban biome"))</f>
        <v>0</v>
      </c>
      <c r="Z742">
        <f>AND(IF(metadata!F742="",FALSE,TRUE),exact(metadata!F742,"animal-associated habitat"))</f>
        <v>0</v>
      </c>
      <c r="AA742">
        <f>AND(IF(metadata!G742="",FALSE,TRUE),exact(metadata!G742,"mouse"))</f>
        <v>0</v>
      </c>
      <c r="AB742">
        <f>AND(IF(metadata!H742="",FALSE,TRUE),exact(metadata!H742,"Mus musculus"))</f>
        <v>0</v>
      </c>
      <c r="AC742">
        <f>AND(IF(metadata!I742="",FALSE,TRUE),exact(metadata!I742,"10090"))</f>
        <v>0</v>
      </c>
      <c r="AD742">
        <f>OR(AND(IF(metadata!J742="",FALSE,TRUE),OR(exact(metadata!J742,"not applicable"),exact(metadata!J742,"missing: not collected"),exact(metadata!J742,"missing: not provided"),exact(metadata!J742,"missing: restricted access"))),AND(IF(metadata!J742="",FALSE,ISNUMBER(VALUE(metadata!J742))),metadata!J742&gt;0))</f>
        <v>0</v>
      </c>
      <c r="AE742">
        <f>AND(IF(metadata!K742="",FALSE,TRUE),exact(metadata!K742,"g"))</f>
        <v>0</v>
      </c>
    </row>
    <row r="743" spans="1:31">
      <c r="A743" s="5">
        <f>IF(B743=" "," ",HYPERLINK(CONCATENATE("#metadata!",ADDRESS(INDEX($Q$2:$Q$1001,MATCH(ROWS($O$2:O743),$O$2:$O$1001,0),0),1)),INDEX($T$2:$T$1001,MATCH(ROWS($O$2:O743),$O$2:$O$1001,0),0)))</f>
        <v>0</v>
      </c>
      <c r="B743" s="4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4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4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4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4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4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4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4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4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4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OR(AND(IF(metadata!C743="",FALSE,TRUE),OR(exact(metadata!C743,"not applicable"),exact(metadata!C743,"missing: not collected"),exact(metadata!C743,"missing: not provided"),exact(metadata!C743,"missing: restricted access"))),AND(IF(metadata!C743="",FALSE,ISNUMBER(VALUE(metadata!C743))),metadata!C743&gt;0))</f>
        <v>0</v>
      </c>
      <c r="X743">
        <f>AND(IF(metadata!D743="",FALSE,TRUE),exact(metadata!D743,"weeks"))</f>
        <v>0</v>
      </c>
      <c r="Y743">
        <f>AND(IF(metadata!E743="",FALSE,TRUE),exact(metadata!E743,"urban biome"))</f>
        <v>0</v>
      </c>
      <c r="Z743">
        <f>AND(IF(metadata!F743="",FALSE,TRUE),exact(metadata!F743,"animal-associated habitat"))</f>
        <v>0</v>
      </c>
      <c r="AA743">
        <f>AND(IF(metadata!G743="",FALSE,TRUE),exact(metadata!G743,"mouse"))</f>
        <v>0</v>
      </c>
      <c r="AB743">
        <f>AND(IF(metadata!H743="",FALSE,TRUE),exact(metadata!H743,"Mus musculus"))</f>
        <v>0</v>
      </c>
      <c r="AC743">
        <f>AND(IF(metadata!I743="",FALSE,TRUE),exact(metadata!I743,"10090"))</f>
        <v>0</v>
      </c>
      <c r="AD743">
        <f>OR(AND(IF(metadata!J743="",FALSE,TRUE),OR(exact(metadata!J743,"not applicable"),exact(metadata!J743,"missing: not collected"),exact(metadata!J743,"missing: not provided"),exact(metadata!J743,"missing: restricted access"))),AND(IF(metadata!J743="",FALSE,ISNUMBER(VALUE(metadata!J743))),metadata!J743&gt;0))</f>
        <v>0</v>
      </c>
      <c r="AE743">
        <f>AND(IF(metadata!K743="",FALSE,TRUE),exact(metadata!K743,"g"))</f>
        <v>0</v>
      </c>
    </row>
    <row r="744" spans="1:31">
      <c r="A744" s="5">
        <f>IF(B744=" "," ",HYPERLINK(CONCATENATE("#metadata!",ADDRESS(INDEX($Q$2:$Q$1001,MATCH(ROWS($O$2:O744),$O$2:$O$1001,0),0),1)),INDEX($T$2:$T$1001,MATCH(ROWS($O$2:O744),$O$2:$O$1001,0),0)))</f>
        <v>0</v>
      </c>
      <c r="B744" s="4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4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4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4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4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4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4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4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4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4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OR(AND(IF(metadata!C744="",FALSE,TRUE),OR(exact(metadata!C744,"not applicable"),exact(metadata!C744,"missing: not collected"),exact(metadata!C744,"missing: not provided"),exact(metadata!C744,"missing: restricted access"))),AND(IF(metadata!C744="",FALSE,ISNUMBER(VALUE(metadata!C744))),metadata!C744&gt;0))</f>
        <v>0</v>
      </c>
      <c r="X744">
        <f>AND(IF(metadata!D744="",FALSE,TRUE),exact(metadata!D744,"weeks"))</f>
        <v>0</v>
      </c>
      <c r="Y744">
        <f>AND(IF(metadata!E744="",FALSE,TRUE),exact(metadata!E744,"urban biome"))</f>
        <v>0</v>
      </c>
      <c r="Z744">
        <f>AND(IF(metadata!F744="",FALSE,TRUE),exact(metadata!F744,"animal-associated habitat"))</f>
        <v>0</v>
      </c>
      <c r="AA744">
        <f>AND(IF(metadata!G744="",FALSE,TRUE),exact(metadata!G744,"mouse"))</f>
        <v>0</v>
      </c>
      <c r="AB744">
        <f>AND(IF(metadata!H744="",FALSE,TRUE),exact(metadata!H744,"Mus musculus"))</f>
        <v>0</v>
      </c>
      <c r="AC744">
        <f>AND(IF(metadata!I744="",FALSE,TRUE),exact(metadata!I744,"10090"))</f>
        <v>0</v>
      </c>
      <c r="AD744">
        <f>OR(AND(IF(metadata!J744="",FALSE,TRUE),OR(exact(metadata!J744,"not applicable"),exact(metadata!J744,"missing: not collected"),exact(metadata!J744,"missing: not provided"),exact(metadata!J744,"missing: restricted access"))),AND(IF(metadata!J744="",FALSE,ISNUMBER(VALUE(metadata!J744))),metadata!J744&gt;0))</f>
        <v>0</v>
      </c>
      <c r="AE744">
        <f>AND(IF(metadata!K744="",FALSE,TRUE),exact(metadata!K744,"g"))</f>
        <v>0</v>
      </c>
    </row>
    <row r="745" spans="1:31">
      <c r="A745" s="5">
        <f>IF(B745=" "," ",HYPERLINK(CONCATENATE("#metadata!",ADDRESS(INDEX($Q$2:$Q$1001,MATCH(ROWS($O$2:O745),$O$2:$O$1001,0),0),1)),INDEX($T$2:$T$1001,MATCH(ROWS($O$2:O745),$O$2:$O$1001,0),0)))</f>
        <v>0</v>
      </c>
      <c r="B745" s="4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4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4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4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4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4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4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4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4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4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OR(AND(IF(metadata!C745="",FALSE,TRUE),OR(exact(metadata!C745,"not applicable"),exact(metadata!C745,"missing: not collected"),exact(metadata!C745,"missing: not provided"),exact(metadata!C745,"missing: restricted access"))),AND(IF(metadata!C745="",FALSE,ISNUMBER(VALUE(metadata!C745))),metadata!C745&gt;0))</f>
        <v>0</v>
      </c>
      <c r="X745">
        <f>AND(IF(metadata!D745="",FALSE,TRUE),exact(metadata!D745,"weeks"))</f>
        <v>0</v>
      </c>
      <c r="Y745">
        <f>AND(IF(metadata!E745="",FALSE,TRUE),exact(metadata!E745,"urban biome"))</f>
        <v>0</v>
      </c>
      <c r="Z745">
        <f>AND(IF(metadata!F745="",FALSE,TRUE),exact(metadata!F745,"animal-associated habitat"))</f>
        <v>0</v>
      </c>
      <c r="AA745">
        <f>AND(IF(metadata!G745="",FALSE,TRUE),exact(metadata!G745,"mouse"))</f>
        <v>0</v>
      </c>
      <c r="AB745">
        <f>AND(IF(metadata!H745="",FALSE,TRUE),exact(metadata!H745,"Mus musculus"))</f>
        <v>0</v>
      </c>
      <c r="AC745">
        <f>AND(IF(metadata!I745="",FALSE,TRUE),exact(metadata!I745,"10090"))</f>
        <v>0</v>
      </c>
      <c r="AD745">
        <f>OR(AND(IF(metadata!J745="",FALSE,TRUE),OR(exact(metadata!J745,"not applicable"),exact(metadata!J745,"missing: not collected"),exact(metadata!J745,"missing: not provided"),exact(metadata!J745,"missing: restricted access"))),AND(IF(metadata!J745="",FALSE,ISNUMBER(VALUE(metadata!J745))),metadata!J745&gt;0))</f>
        <v>0</v>
      </c>
      <c r="AE745">
        <f>AND(IF(metadata!K745="",FALSE,TRUE),exact(metadata!K745,"g"))</f>
        <v>0</v>
      </c>
    </row>
    <row r="746" spans="1:31">
      <c r="A746" s="5">
        <f>IF(B746=" "," ",HYPERLINK(CONCATENATE("#metadata!",ADDRESS(INDEX($Q$2:$Q$1001,MATCH(ROWS($O$2:O746),$O$2:$O$1001,0),0),1)),INDEX($T$2:$T$1001,MATCH(ROWS($O$2:O746),$O$2:$O$1001,0),0)))</f>
        <v>0</v>
      </c>
      <c r="B746" s="4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4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4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4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4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4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4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4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4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4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OR(AND(IF(metadata!C746="",FALSE,TRUE),OR(exact(metadata!C746,"not applicable"),exact(metadata!C746,"missing: not collected"),exact(metadata!C746,"missing: not provided"),exact(metadata!C746,"missing: restricted access"))),AND(IF(metadata!C746="",FALSE,ISNUMBER(VALUE(metadata!C746))),metadata!C746&gt;0))</f>
        <v>0</v>
      </c>
      <c r="X746">
        <f>AND(IF(metadata!D746="",FALSE,TRUE),exact(metadata!D746,"weeks"))</f>
        <v>0</v>
      </c>
      <c r="Y746">
        <f>AND(IF(metadata!E746="",FALSE,TRUE),exact(metadata!E746,"urban biome"))</f>
        <v>0</v>
      </c>
      <c r="Z746">
        <f>AND(IF(metadata!F746="",FALSE,TRUE),exact(metadata!F746,"animal-associated habitat"))</f>
        <v>0</v>
      </c>
      <c r="AA746">
        <f>AND(IF(metadata!G746="",FALSE,TRUE),exact(metadata!G746,"mouse"))</f>
        <v>0</v>
      </c>
      <c r="AB746">
        <f>AND(IF(metadata!H746="",FALSE,TRUE),exact(metadata!H746,"Mus musculus"))</f>
        <v>0</v>
      </c>
      <c r="AC746">
        <f>AND(IF(metadata!I746="",FALSE,TRUE),exact(metadata!I746,"10090"))</f>
        <v>0</v>
      </c>
      <c r="AD746">
        <f>OR(AND(IF(metadata!J746="",FALSE,TRUE),OR(exact(metadata!J746,"not applicable"),exact(metadata!J746,"missing: not collected"),exact(metadata!J746,"missing: not provided"),exact(metadata!J746,"missing: restricted access"))),AND(IF(metadata!J746="",FALSE,ISNUMBER(VALUE(metadata!J746))),metadata!J746&gt;0))</f>
        <v>0</v>
      </c>
      <c r="AE746">
        <f>AND(IF(metadata!K746="",FALSE,TRUE),exact(metadata!K746,"g"))</f>
        <v>0</v>
      </c>
    </row>
    <row r="747" spans="1:31">
      <c r="A747" s="5">
        <f>IF(B747=" "," ",HYPERLINK(CONCATENATE("#metadata!",ADDRESS(INDEX($Q$2:$Q$1001,MATCH(ROWS($O$2:O747),$O$2:$O$1001,0),0),1)),INDEX($T$2:$T$1001,MATCH(ROWS($O$2:O747),$O$2:$O$1001,0),0)))</f>
        <v>0</v>
      </c>
      <c r="B747" s="4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4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4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4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4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4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4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4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4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4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OR(AND(IF(metadata!C747="",FALSE,TRUE),OR(exact(metadata!C747,"not applicable"),exact(metadata!C747,"missing: not collected"),exact(metadata!C747,"missing: not provided"),exact(metadata!C747,"missing: restricted access"))),AND(IF(metadata!C747="",FALSE,ISNUMBER(VALUE(metadata!C747))),metadata!C747&gt;0))</f>
        <v>0</v>
      </c>
      <c r="X747">
        <f>AND(IF(metadata!D747="",FALSE,TRUE),exact(metadata!D747,"weeks"))</f>
        <v>0</v>
      </c>
      <c r="Y747">
        <f>AND(IF(metadata!E747="",FALSE,TRUE),exact(metadata!E747,"urban biome"))</f>
        <v>0</v>
      </c>
      <c r="Z747">
        <f>AND(IF(metadata!F747="",FALSE,TRUE),exact(metadata!F747,"animal-associated habitat"))</f>
        <v>0</v>
      </c>
      <c r="AA747">
        <f>AND(IF(metadata!G747="",FALSE,TRUE),exact(metadata!G747,"mouse"))</f>
        <v>0</v>
      </c>
      <c r="AB747">
        <f>AND(IF(metadata!H747="",FALSE,TRUE),exact(metadata!H747,"Mus musculus"))</f>
        <v>0</v>
      </c>
      <c r="AC747">
        <f>AND(IF(metadata!I747="",FALSE,TRUE),exact(metadata!I747,"10090"))</f>
        <v>0</v>
      </c>
      <c r="AD747">
        <f>OR(AND(IF(metadata!J747="",FALSE,TRUE),OR(exact(metadata!J747,"not applicable"),exact(metadata!J747,"missing: not collected"),exact(metadata!J747,"missing: not provided"),exact(metadata!J747,"missing: restricted access"))),AND(IF(metadata!J747="",FALSE,ISNUMBER(VALUE(metadata!J747))),metadata!J747&gt;0))</f>
        <v>0</v>
      </c>
      <c r="AE747">
        <f>AND(IF(metadata!K747="",FALSE,TRUE),exact(metadata!K747,"g"))</f>
        <v>0</v>
      </c>
    </row>
    <row r="748" spans="1:31">
      <c r="A748" s="5">
        <f>IF(B748=" "," ",HYPERLINK(CONCATENATE("#metadata!",ADDRESS(INDEX($Q$2:$Q$1001,MATCH(ROWS($O$2:O748),$O$2:$O$1001,0),0),1)),INDEX($T$2:$T$1001,MATCH(ROWS($O$2:O748),$O$2:$O$1001,0),0)))</f>
        <v>0</v>
      </c>
      <c r="B748" s="4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4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4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4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4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4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4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4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4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4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OR(AND(IF(metadata!C748="",FALSE,TRUE),OR(exact(metadata!C748,"not applicable"),exact(metadata!C748,"missing: not collected"),exact(metadata!C748,"missing: not provided"),exact(metadata!C748,"missing: restricted access"))),AND(IF(metadata!C748="",FALSE,ISNUMBER(VALUE(metadata!C748))),metadata!C748&gt;0))</f>
        <v>0</v>
      </c>
      <c r="X748">
        <f>AND(IF(metadata!D748="",FALSE,TRUE),exact(metadata!D748,"weeks"))</f>
        <v>0</v>
      </c>
      <c r="Y748">
        <f>AND(IF(metadata!E748="",FALSE,TRUE),exact(metadata!E748,"urban biome"))</f>
        <v>0</v>
      </c>
      <c r="Z748">
        <f>AND(IF(metadata!F748="",FALSE,TRUE),exact(metadata!F748,"animal-associated habitat"))</f>
        <v>0</v>
      </c>
      <c r="AA748">
        <f>AND(IF(metadata!G748="",FALSE,TRUE),exact(metadata!G748,"mouse"))</f>
        <v>0</v>
      </c>
      <c r="AB748">
        <f>AND(IF(metadata!H748="",FALSE,TRUE),exact(metadata!H748,"Mus musculus"))</f>
        <v>0</v>
      </c>
      <c r="AC748">
        <f>AND(IF(metadata!I748="",FALSE,TRUE),exact(metadata!I748,"10090"))</f>
        <v>0</v>
      </c>
      <c r="AD748">
        <f>OR(AND(IF(metadata!J748="",FALSE,TRUE),OR(exact(metadata!J748,"not applicable"),exact(metadata!J748,"missing: not collected"),exact(metadata!J748,"missing: not provided"),exact(metadata!J748,"missing: restricted access"))),AND(IF(metadata!J748="",FALSE,ISNUMBER(VALUE(metadata!J748))),metadata!J748&gt;0))</f>
        <v>0</v>
      </c>
      <c r="AE748">
        <f>AND(IF(metadata!K748="",FALSE,TRUE),exact(metadata!K748,"g"))</f>
        <v>0</v>
      </c>
    </row>
    <row r="749" spans="1:31">
      <c r="A749" s="5">
        <f>IF(B749=" "," ",HYPERLINK(CONCATENATE("#metadata!",ADDRESS(INDEX($Q$2:$Q$1001,MATCH(ROWS($O$2:O749),$O$2:$O$1001,0),0),1)),INDEX($T$2:$T$1001,MATCH(ROWS($O$2:O749),$O$2:$O$1001,0),0)))</f>
        <v>0</v>
      </c>
      <c r="B749" s="4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4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4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4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4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4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4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4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4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4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OR(AND(IF(metadata!C749="",FALSE,TRUE),OR(exact(metadata!C749,"not applicable"),exact(metadata!C749,"missing: not collected"),exact(metadata!C749,"missing: not provided"),exact(metadata!C749,"missing: restricted access"))),AND(IF(metadata!C749="",FALSE,ISNUMBER(VALUE(metadata!C749))),metadata!C749&gt;0))</f>
        <v>0</v>
      </c>
      <c r="X749">
        <f>AND(IF(metadata!D749="",FALSE,TRUE),exact(metadata!D749,"weeks"))</f>
        <v>0</v>
      </c>
      <c r="Y749">
        <f>AND(IF(metadata!E749="",FALSE,TRUE),exact(metadata!E749,"urban biome"))</f>
        <v>0</v>
      </c>
      <c r="Z749">
        <f>AND(IF(metadata!F749="",FALSE,TRUE),exact(metadata!F749,"animal-associated habitat"))</f>
        <v>0</v>
      </c>
      <c r="AA749">
        <f>AND(IF(metadata!G749="",FALSE,TRUE),exact(metadata!G749,"mouse"))</f>
        <v>0</v>
      </c>
      <c r="AB749">
        <f>AND(IF(metadata!H749="",FALSE,TRUE),exact(metadata!H749,"Mus musculus"))</f>
        <v>0</v>
      </c>
      <c r="AC749">
        <f>AND(IF(metadata!I749="",FALSE,TRUE),exact(metadata!I749,"10090"))</f>
        <v>0</v>
      </c>
      <c r="AD749">
        <f>OR(AND(IF(metadata!J749="",FALSE,TRUE),OR(exact(metadata!J749,"not applicable"),exact(metadata!J749,"missing: not collected"),exact(metadata!J749,"missing: not provided"),exact(metadata!J749,"missing: restricted access"))),AND(IF(metadata!J749="",FALSE,ISNUMBER(VALUE(metadata!J749))),metadata!J749&gt;0))</f>
        <v>0</v>
      </c>
      <c r="AE749">
        <f>AND(IF(metadata!K749="",FALSE,TRUE),exact(metadata!K749,"g"))</f>
        <v>0</v>
      </c>
    </row>
    <row r="750" spans="1:31">
      <c r="A750" s="5">
        <f>IF(B750=" "," ",HYPERLINK(CONCATENATE("#metadata!",ADDRESS(INDEX($Q$2:$Q$1001,MATCH(ROWS($O$2:O750),$O$2:$O$1001,0),0),1)),INDEX($T$2:$T$1001,MATCH(ROWS($O$2:O750),$O$2:$O$1001,0),0)))</f>
        <v>0</v>
      </c>
      <c r="B750" s="4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4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4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4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4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4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4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4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4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4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OR(AND(IF(metadata!C750="",FALSE,TRUE),OR(exact(metadata!C750,"not applicable"),exact(metadata!C750,"missing: not collected"),exact(metadata!C750,"missing: not provided"),exact(metadata!C750,"missing: restricted access"))),AND(IF(metadata!C750="",FALSE,ISNUMBER(VALUE(metadata!C750))),metadata!C750&gt;0))</f>
        <v>0</v>
      </c>
      <c r="X750">
        <f>AND(IF(metadata!D750="",FALSE,TRUE),exact(metadata!D750,"weeks"))</f>
        <v>0</v>
      </c>
      <c r="Y750">
        <f>AND(IF(metadata!E750="",FALSE,TRUE),exact(metadata!E750,"urban biome"))</f>
        <v>0</v>
      </c>
      <c r="Z750">
        <f>AND(IF(metadata!F750="",FALSE,TRUE),exact(metadata!F750,"animal-associated habitat"))</f>
        <v>0</v>
      </c>
      <c r="AA750">
        <f>AND(IF(metadata!G750="",FALSE,TRUE),exact(metadata!G750,"mouse"))</f>
        <v>0</v>
      </c>
      <c r="AB750">
        <f>AND(IF(metadata!H750="",FALSE,TRUE),exact(metadata!H750,"Mus musculus"))</f>
        <v>0</v>
      </c>
      <c r="AC750">
        <f>AND(IF(metadata!I750="",FALSE,TRUE),exact(metadata!I750,"10090"))</f>
        <v>0</v>
      </c>
      <c r="AD750">
        <f>OR(AND(IF(metadata!J750="",FALSE,TRUE),OR(exact(metadata!J750,"not applicable"),exact(metadata!J750,"missing: not collected"),exact(metadata!J750,"missing: not provided"),exact(metadata!J750,"missing: restricted access"))),AND(IF(metadata!J750="",FALSE,ISNUMBER(VALUE(metadata!J750))),metadata!J750&gt;0))</f>
        <v>0</v>
      </c>
      <c r="AE750">
        <f>AND(IF(metadata!K750="",FALSE,TRUE),exact(metadata!K750,"g"))</f>
        <v>0</v>
      </c>
    </row>
    <row r="751" spans="1:31">
      <c r="A751" s="5">
        <f>IF(B751=" "," ",HYPERLINK(CONCATENATE("#metadata!",ADDRESS(INDEX($Q$2:$Q$1001,MATCH(ROWS($O$2:O751),$O$2:$O$1001,0),0),1)),INDEX($T$2:$T$1001,MATCH(ROWS($O$2:O751),$O$2:$O$1001,0),0)))</f>
        <v>0</v>
      </c>
      <c r="B751" s="4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4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4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4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4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4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4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4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4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4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OR(AND(IF(metadata!C751="",FALSE,TRUE),OR(exact(metadata!C751,"not applicable"),exact(metadata!C751,"missing: not collected"),exact(metadata!C751,"missing: not provided"),exact(metadata!C751,"missing: restricted access"))),AND(IF(metadata!C751="",FALSE,ISNUMBER(VALUE(metadata!C751))),metadata!C751&gt;0))</f>
        <v>0</v>
      </c>
      <c r="X751">
        <f>AND(IF(metadata!D751="",FALSE,TRUE),exact(metadata!D751,"weeks"))</f>
        <v>0</v>
      </c>
      <c r="Y751">
        <f>AND(IF(metadata!E751="",FALSE,TRUE),exact(metadata!E751,"urban biome"))</f>
        <v>0</v>
      </c>
      <c r="Z751">
        <f>AND(IF(metadata!F751="",FALSE,TRUE),exact(metadata!F751,"animal-associated habitat"))</f>
        <v>0</v>
      </c>
      <c r="AA751">
        <f>AND(IF(metadata!G751="",FALSE,TRUE),exact(metadata!G751,"mouse"))</f>
        <v>0</v>
      </c>
      <c r="AB751">
        <f>AND(IF(metadata!H751="",FALSE,TRUE),exact(metadata!H751,"Mus musculus"))</f>
        <v>0</v>
      </c>
      <c r="AC751">
        <f>AND(IF(metadata!I751="",FALSE,TRUE),exact(metadata!I751,"10090"))</f>
        <v>0</v>
      </c>
      <c r="AD751">
        <f>OR(AND(IF(metadata!J751="",FALSE,TRUE),OR(exact(metadata!J751,"not applicable"),exact(metadata!J751,"missing: not collected"),exact(metadata!J751,"missing: not provided"),exact(metadata!J751,"missing: restricted access"))),AND(IF(metadata!J751="",FALSE,ISNUMBER(VALUE(metadata!J751))),metadata!J751&gt;0))</f>
        <v>0</v>
      </c>
      <c r="AE751">
        <f>AND(IF(metadata!K751="",FALSE,TRUE),exact(metadata!K751,"g"))</f>
        <v>0</v>
      </c>
    </row>
    <row r="752" spans="1:31">
      <c r="A752" s="5">
        <f>IF(B752=" "," ",HYPERLINK(CONCATENATE("#metadata!",ADDRESS(INDEX($Q$2:$Q$1001,MATCH(ROWS($O$2:O752),$O$2:$O$1001,0),0),1)),INDEX($T$2:$T$1001,MATCH(ROWS($O$2:O752),$O$2:$O$1001,0),0)))</f>
        <v>0</v>
      </c>
      <c r="B752" s="4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4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4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4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4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4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4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4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4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4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OR(AND(IF(metadata!C752="",FALSE,TRUE),OR(exact(metadata!C752,"not applicable"),exact(metadata!C752,"missing: not collected"),exact(metadata!C752,"missing: not provided"),exact(metadata!C752,"missing: restricted access"))),AND(IF(metadata!C752="",FALSE,ISNUMBER(VALUE(metadata!C752))),metadata!C752&gt;0))</f>
        <v>0</v>
      </c>
      <c r="X752">
        <f>AND(IF(metadata!D752="",FALSE,TRUE),exact(metadata!D752,"weeks"))</f>
        <v>0</v>
      </c>
      <c r="Y752">
        <f>AND(IF(metadata!E752="",FALSE,TRUE),exact(metadata!E752,"urban biome"))</f>
        <v>0</v>
      </c>
      <c r="Z752">
        <f>AND(IF(metadata!F752="",FALSE,TRUE),exact(metadata!F752,"animal-associated habitat"))</f>
        <v>0</v>
      </c>
      <c r="AA752">
        <f>AND(IF(metadata!G752="",FALSE,TRUE),exact(metadata!G752,"mouse"))</f>
        <v>0</v>
      </c>
      <c r="AB752">
        <f>AND(IF(metadata!H752="",FALSE,TRUE),exact(metadata!H752,"Mus musculus"))</f>
        <v>0</v>
      </c>
      <c r="AC752">
        <f>AND(IF(metadata!I752="",FALSE,TRUE),exact(metadata!I752,"10090"))</f>
        <v>0</v>
      </c>
      <c r="AD752">
        <f>OR(AND(IF(metadata!J752="",FALSE,TRUE),OR(exact(metadata!J752,"not applicable"),exact(metadata!J752,"missing: not collected"),exact(metadata!J752,"missing: not provided"),exact(metadata!J752,"missing: restricted access"))),AND(IF(metadata!J752="",FALSE,ISNUMBER(VALUE(metadata!J752))),metadata!J752&gt;0))</f>
        <v>0</v>
      </c>
      <c r="AE752">
        <f>AND(IF(metadata!K752="",FALSE,TRUE),exact(metadata!K752,"g"))</f>
        <v>0</v>
      </c>
    </row>
    <row r="753" spans="1:31">
      <c r="A753" s="5">
        <f>IF(B753=" "," ",HYPERLINK(CONCATENATE("#metadata!",ADDRESS(INDEX($Q$2:$Q$1001,MATCH(ROWS($O$2:O753),$O$2:$O$1001,0),0),1)),INDEX($T$2:$T$1001,MATCH(ROWS($O$2:O753),$O$2:$O$1001,0),0)))</f>
        <v>0</v>
      </c>
      <c r="B753" s="4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4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4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4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4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4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4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4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4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4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OR(AND(IF(metadata!C753="",FALSE,TRUE),OR(exact(metadata!C753,"not applicable"),exact(metadata!C753,"missing: not collected"),exact(metadata!C753,"missing: not provided"),exact(metadata!C753,"missing: restricted access"))),AND(IF(metadata!C753="",FALSE,ISNUMBER(VALUE(metadata!C753))),metadata!C753&gt;0))</f>
        <v>0</v>
      </c>
      <c r="X753">
        <f>AND(IF(metadata!D753="",FALSE,TRUE),exact(metadata!D753,"weeks"))</f>
        <v>0</v>
      </c>
      <c r="Y753">
        <f>AND(IF(metadata!E753="",FALSE,TRUE),exact(metadata!E753,"urban biome"))</f>
        <v>0</v>
      </c>
      <c r="Z753">
        <f>AND(IF(metadata!F753="",FALSE,TRUE),exact(metadata!F753,"animal-associated habitat"))</f>
        <v>0</v>
      </c>
      <c r="AA753">
        <f>AND(IF(metadata!G753="",FALSE,TRUE),exact(metadata!G753,"mouse"))</f>
        <v>0</v>
      </c>
      <c r="AB753">
        <f>AND(IF(metadata!H753="",FALSE,TRUE),exact(metadata!H753,"Mus musculus"))</f>
        <v>0</v>
      </c>
      <c r="AC753">
        <f>AND(IF(metadata!I753="",FALSE,TRUE),exact(metadata!I753,"10090"))</f>
        <v>0</v>
      </c>
      <c r="AD753">
        <f>OR(AND(IF(metadata!J753="",FALSE,TRUE),OR(exact(metadata!J753,"not applicable"),exact(metadata!J753,"missing: not collected"),exact(metadata!J753,"missing: not provided"),exact(metadata!J753,"missing: restricted access"))),AND(IF(metadata!J753="",FALSE,ISNUMBER(VALUE(metadata!J753))),metadata!J753&gt;0))</f>
        <v>0</v>
      </c>
      <c r="AE753">
        <f>AND(IF(metadata!K753="",FALSE,TRUE),exact(metadata!K753,"g"))</f>
        <v>0</v>
      </c>
    </row>
    <row r="754" spans="1:31">
      <c r="A754" s="5">
        <f>IF(B754=" "," ",HYPERLINK(CONCATENATE("#metadata!",ADDRESS(INDEX($Q$2:$Q$1001,MATCH(ROWS($O$2:O754),$O$2:$O$1001,0),0),1)),INDEX($T$2:$T$1001,MATCH(ROWS($O$2:O754),$O$2:$O$1001,0),0)))</f>
        <v>0</v>
      </c>
      <c r="B754" s="4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4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4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4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4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4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4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4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4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4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OR(AND(IF(metadata!C754="",FALSE,TRUE),OR(exact(metadata!C754,"not applicable"),exact(metadata!C754,"missing: not collected"),exact(metadata!C754,"missing: not provided"),exact(metadata!C754,"missing: restricted access"))),AND(IF(metadata!C754="",FALSE,ISNUMBER(VALUE(metadata!C754))),metadata!C754&gt;0))</f>
        <v>0</v>
      </c>
      <c r="X754">
        <f>AND(IF(metadata!D754="",FALSE,TRUE),exact(metadata!D754,"weeks"))</f>
        <v>0</v>
      </c>
      <c r="Y754">
        <f>AND(IF(metadata!E754="",FALSE,TRUE),exact(metadata!E754,"urban biome"))</f>
        <v>0</v>
      </c>
      <c r="Z754">
        <f>AND(IF(metadata!F754="",FALSE,TRUE),exact(metadata!F754,"animal-associated habitat"))</f>
        <v>0</v>
      </c>
      <c r="AA754">
        <f>AND(IF(metadata!G754="",FALSE,TRUE),exact(metadata!G754,"mouse"))</f>
        <v>0</v>
      </c>
      <c r="AB754">
        <f>AND(IF(metadata!H754="",FALSE,TRUE),exact(metadata!H754,"Mus musculus"))</f>
        <v>0</v>
      </c>
      <c r="AC754">
        <f>AND(IF(metadata!I754="",FALSE,TRUE),exact(metadata!I754,"10090"))</f>
        <v>0</v>
      </c>
      <c r="AD754">
        <f>OR(AND(IF(metadata!J754="",FALSE,TRUE),OR(exact(metadata!J754,"not applicable"),exact(metadata!J754,"missing: not collected"),exact(metadata!J754,"missing: not provided"),exact(metadata!J754,"missing: restricted access"))),AND(IF(metadata!J754="",FALSE,ISNUMBER(VALUE(metadata!J754))),metadata!J754&gt;0))</f>
        <v>0</v>
      </c>
      <c r="AE754">
        <f>AND(IF(metadata!K754="",FALSE,TRUE),exact(metadata!K754,"g"))</f>
        <v>0</v>
      </c>
    </row>
    <row r="755" spans="1:31">
      <c r="A755" s="5">
        <f>IF(B755=" "," ",HYPERLINK(CONCATENATE("#metadata!",ADDRESS(INDEX($Q$2:$Q$1001,MATCH(ROWS($O$2:O755),$O$2:$O$1001,0),0),1)),INDEX($T$2:$T$1001,MATCH(ROWS($O$2:O755),$O$2:$O$1001,0),0)))</f>
        <v>0</v>
      </c>
      <c r="B755" s="4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4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4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4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4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4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4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4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4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4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OR(AND(IF(metadata!C755="",FALSE,TRUE),OR(exact(metadata!C755,"not applicable"),exact(metadata!C755,"missing: not collected"),exact(metadata!C755,"missing: not provided"),exact(metadata!C755,"missing: restricted access"))),AND(IF(metadata!C755="",FALSE,ISNUMBER(VALUE(metadata!C755))),metadata!C755&gt;0))</f>
        <v>0</v>
      </c>
      <c r="X755">
        <f>AND(IF(metadata!D755="",FALSE,TRUE),exact(metadata!D755,"weeks"))</f>
        <v>0</v>
      </c>
      <c r="Y755">
        <f>AND(IF(metadata!E755="",FALSE,TRUE),exact(metadata!E755,"urban biome"))</f>
        <v>0</v>
      </c>
      <c r="Z755">
        <f>AND(IF(metadata!F755="",FALSE,TRUE),exact(metadata!F755,"animal-associated habitat"))</f>
        <v>0</v>
      </c>
      <c r="AA755">
        <f>AND(IF(metadata!G755="",FALSE,TRUE),exact(metadata!G755,"mouse"))</f>
        <v>0</v>
      </c>
      <c r="AB755">
        <f>AND(IF(metadata!H755="",FALSE,TRUE),exact(metadata!H755,"Mus musculus"))</f>
        <v>0</v>
      </c>
      <c r="AC755">
        <f>AND(IF(metadata!I755="",FALSE,TRUE),exact(metadata!I755,"10090"))</f>
        <v>0</v>
      </c>
      <c r="AD755">
        <f>OR(AND(IF(metadata!J755="",FALSE,TRUE),OR(exact(metadata!J755,"not applicable"),exact(metadata!J755,"missing: not collected"),exact(metadata!J755,"missing: not provided"),exact(metadata!J755,"missing: restricted access"))),AND(IF(metadata!J755="",FALSE,ISNUMBER(VALUE(metadata!J755))),metadata!J755&gt;0))</f>
        <v>0</v>
      </c>
      <c r="AE755">
        <f>AND(IF(metadata!K755="",FALSE,TRUE),exact(metadata!K755,"g"))</f>
        <v>0</v>
      </c>
    </row>
    <row r="756" spans="1:31">
      <c r="A756" s="5">
        <f>IF(B756=" "," ",HYPERLINK(CONCATENATE("#metadata!",ADDRESS(INDEX($Q$2:$Q$1001,MATCH(ROWS($O$2:O756),$O$2:$O$1001,0),0),1)),INDEX($T$2:$T$1001,MATCH(ROWS($O$2:O756),$O$2:$O$1001,0),0)))</f>
        <v>0</v>
      </c>
      <c r="B756" s="4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4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4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4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4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4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4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4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4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4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OR(AND(IF(metadata!C756="",FALSE,TRUE),OR(exact(metadata!C756,"not applicable"),exact(metadata!C756,"missing: not collected"),exact(metadata!C756,"missing: not provided"),exact(metadata!C756,"missing: restricted access"))),AND(IF(metadata!C756="",FALSE,ISNUMBER(VALUE(metadata!C756))),metadata!C756&gt;0))</f>
        <v>0</v>
      </c>
      <c r="X756">
        <f>AND(IF(metadata!D756="",FALSE,TRUE),exact(metadata!D756,"weeks"))</f>
        <v>0</v>
      </c>
      <c r="Y756">
        <f>AND(IF(metadata!E756="",FALSE,TRUE),exact(metadata!E756,"urban biome"))</f>
        <v>0</v>
      </c>
      <c r="Z756">
        <f>AND(IF(metadata!F756="",FALSE,TRUE),exact(metadata!F756,"animal-associated habitat"))</f>
        <v>0</v>
      </c>
      <c r="AA756">
        <f>AND(IF(metadata!G756="",FALSE,TRUE),exact(metadata!G756,"mouse"))</f>
        <v>0</v>
      </c>
      <c r="AB756">
        <f>AND(IF(metadata!H756="",FALSE,TRUE),exact(metadata!H756,"Mus musculus"))</f>
        <v>0</v>
      </c>
      <c r="AC756">
        <f>AND(IF(metadata!I756="",FALSE,TRUE),exact(metadata!I756,"10090"))</f>
        <v>0</v>
      </c>
      <c r="AD756">
        <f>OR(AND(IF(metadata!J756="",FALSE,TRUE),OR(exact(metadata!J756,"not applicable"),exact(metadata!J756,"missing: not collected"),exact(metadata!J756,"missing: not provided"),exact(metadata!J756,"missing: restricted access"))),AND(IF(metadata!J756="",FALSE,ISNUMBER(VALUE(metadata!J756))),metadata!J756&gt;0))</f>
        <v>0</v>
      </c>
      <c r="AE756">
        <f>AND(IF(metadata!K756="",FALSE,TRUE),exact(metadata!K756,"g"))</f>
        <v>0</v>
      </c>
    </row>
    <row r="757" spans="1:31">
      <c r="A757" s="5">
        <f>IF(B757=" "," ",HYPERLINK(CONCATENATE("#metadata!",ADDRESS(INDEX($Q$2:$Q$1001,MATCH(ROWS($O$2:O757),$O$2:$O$1001,0),0),1)),INDEX($T$2:$T$1001,MATCH(ROWS($O$2:O757),$O$2:$O$1001,0),0)))</f>
        <v>0</v>
      </c>
      <c r="B757" s="4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4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4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4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4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4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4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4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4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4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OR(AND(IF(metadata!C757="",FALSE,TRUE),OR(exact(metadata!C757,"not applicable"),exact(metadata!C757,"missing: not collected"),exact(metadata!C757,"missing: not provided"),exact(metadata!C757,"missing: restricted access"))),AND(IF(metadata!C757="",FALSE,ISNUMBER(VALUE(metadata!C757))),metadata!C757&gt;0))</f>
        <v>0</v>
      </c>
      <c r="X757">
        <f>AND(IF(metadata!D757="",FALSE,TRUE),exact(metadata!D757,"weeks"))</f>
        <v>0</v>
      </c>
      <c r="Y757">
        <f>AND(IF(metadata!E757="",FALSE,TRUE),exact(metadata!E757,"urban biome"))</f>
        <v>0</v>
      </c>
      <c r="Z757">
        <f>AND(IF(metadata!F757="",FALSE,TRUE),exact(metadata!F757,"animal-associated habitat"))</f>
        <v>0</v>
      </c>
      <c r="AA757">
        <f>AND(IF(metadata!G757="",FALSE,TRUE),exact(metadata!G757,"mouse"))</f>
        <v>0</v>
      </c>
      <c r="AB757">
        <f>AND(IF(metadata!H757="",FALSE,TRUE),exact(metadata!H757,"Mus musculus"))</f>
        <v>0</v>
      </c>
      <c r="AC757">
        <f>AND(IF(metadata!I757="",FALSE,TRUE),exact(metadata!I757,"10090"))</f>
        <v>0</v>
      </c>
      <c r="AD757">
        <f>OR(AND(IF(metadata!J757="",FALSE,TRUE),OR(exact(metadata!J757,"not applicable"),exact(metadata!J757,"missing: not collected"),exact(metadata!J757,"missing: not provided"),exact(metadata!J757,"missing: restricted access"))),AND(IF(metadata!J757="",FALSE,ISNUMBER(VALUE(metadata!J757))),metadata!J757&gt;0))</f>
        <v>0</v>
      </c>
      <c r="AE757">
        <f>AND(IF(metadata!K757="",FALSE,TRUE),exact(metadata!K757,"g"))</f>
        <v>0</v>
      </c>
    </row>
    <row r="758" spans="1:31">
      <c r="A758" s="5">
        <f>IF(B758=" "," ",HYPERLINK(CONCATENATE("#metadata!",ADDRESS(INDEX($Q$2:$Q$1001,MATCH(ROWS($O$2:O758),$O$2:$O$1001,0),0),1)),INDEX($T$2:$T$1001,MATCH(ROWS($O$2:O758),$O$2:$O$1001,0),0)))</f>
        <v>0</v>
      </c>
      <c r="B758" s="4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4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4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4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4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4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4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4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4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4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OR(AND(IF(metadata!C758="",FALSE,TRUE),OR(exact(metadata!C758,"not applicable"),exact(metadata!C758,"missing: not collected"),exact(metadata!C758,"missing: not provided"),exact(metadata!C758,"missing: restricted access"))),AND(IF(metadata!C758="",FALSE,ISNUMBER(VALUE(metadata!C758))),metadata!C758&gt;0))</f>
        <v>0</v>
      </c>
      <c r="X758">
        <f>AND(IF(metadata!D758="",FALSE,TRUE),exact(metadata!D758,"weeks"))</f>
        <v>0</v>
      </c>
      <c r="Y758">
        <f>AND(IF(metadata!E758="",FALSE,TRUE),exact(metadata!E758,"urban biome"))</f>
        <v>0</v>
      </c>
      <c r="Z758">
        <f>AND(IF(metadata!F758="",FALSE,TRUE),exact(metadata!F758,"animal-associated habitat"))</f>
        <v>0</v>
      </c>
      <c r="AA758">
        <f>AND(IF(metadata!G758="",FALSE,TRUE),exact(metadata!G758,"mouse"))</f>
        <v>0</v>
      </c>
      <c r="AB758">
        <f>AND(IF(metadata!H758="",FALSE,TRUE),exact(metadata!H758,"Mus musculus"))</f>
        <v>0</v>
      </c>
      <c r="AC758">
        <f>AND(IF(metadata!I758="",FALSE,TRUE),exact(metadata!I758,"10090"))</f>
        <v>0</v>
      </c>
      <c r="AD758">
        <f>OR(AND(IF(metadata!J758="",FALSE,TRUE),OR(exact(metadata!J758,"not applicable"),exact(metadata!J758,"missing: not collected"),exact(metadata!J758,"missing: not provided"),exact(metadata!J758,"missing: restricted access"))),AND(IF(metadata!J758="",FALSE,ISNUMBER(VALUE(metadata!J758))),metadata!J758&gt;0))</f>
        <v>0</v>
      </c>
      <c r="AE758">
        <f>AND(IF(metadata!K758="",FALSE,TRUE),exact(metadata!K758,"g"))</f>
        <v>0</v>
      </c>
    </row>
    <row r="759" spans="1:31">
      <c r="A759" s="5">
        <f>IF(B759=" "," ",HYPERLINK(CONCATENATE("#metadata!",ADDRESS(INDEX($Q$2:$Q$1001,MATCH(ROWS($O$2:O759),$O$2:$O$1001,0),0),1)),INDEX($T$2:$T$1001,MATCH(ROWS($O$2:O759),$O$2:$O$1001,0),0)))</f>
        <v>0</v>
      </c>
      <c r="B759" s="4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4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4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4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4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4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4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4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4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4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OR(AND(IF(metadata!C759="",FALSE,TRUE),OR(exact(metadata!C759,"not applicable"),exact(metadata!C759,"missing: not collected"),exact(metadata!C759,"missing: not provided"),exact(metadata!C759,"missing: restricted access"))),AND(IF(metadata!C759="",FALSE,ISNUMBER(VALUE(metadata!C759))),metadata!C759&gt;0))</f>
        <v>0</v>
      </c>
      <c r="X759">
        <f>AND(IF(metadata!D759="",FALSE,TRUE),exact(metadata!D759,"weeks"))</f>
        <v>0</v>
      </c>
      <c r="Y759">
        <f>AND(IF(metadata!E759="",FALSE,TRUE),exact(metadata!E759,"urban biome"))</f>
        <v>0</v>
      </c>
      <c r="Z759">
        <f>AND(IF(metadata!F759="",FALSE,TRUE),exact(metadata!F759,"animal-associated habitat"))</f>
        <v>0</v>
      </c>
      <c r="AA759">
        <f>AND(IF(metadata!G759="",FALSE,TRUE),exact(metadata!G759,"mouse"))</f>
        <v>0</v>
      </c>
      <c r="AB759">
        <f>AND(IF(metadata!H759="",FALSE,TRUE),exact(metadata!H759,"Mus musculus"))</f>
        <v>0</v>
      </c>
      <c r="AC759">
        <f>AND(IF(metadata!I759="",FALSE,TRUE),exact(metadata!I759,"10090"))</f>
        <v>0</v>
      </c>
      <c r="AD759">
        <f>OR(AND(IF(metadata!J759="",FALSE,TRUE),OR(exact(metadata!J759,"not applicable"),exact(metadata!J759,"missing: not collected"),exact(metadata!J759,"missing: not provided"),exact(metadata!J759,"missing: restricted access"))),AND(IF(metadata!J759="",FALSE,ISNUMBER(VALUE(metadata!J759))),metadata!J759&gt;0))</f>
        <v>0</v>
      </c>
      <c r="AE759">
        <f>AND(IF(metadata!K759="",FALSE,TRUE),exact(metadata!K759,"g"))</f>
        <v>0</v>
      </c>
    </row>
    <row r="760" spans="1:31">
      <c r="A760" s="5">
        <f>IF(B760=" "," ",HYPERLINK(CONCATENATE("#metadata!",ADDRESS(INDEX($Q$2:$Q$1001,MATCH(ROWS($O$2:O760),$O$2:$O$1001,0),0),1)),INDEX($T$2:$T$1001,MATCH(ROWS($O$2:O760),$O$2:$O$1001,0),0)))</f>
        <v>0</v>
      </c>
      <c r="B760" s="4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4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4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4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4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4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4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4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4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4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OR(AND(IF(metadata!C760="",FALSE,TRUE),OR(exact(metadata!C760,"not applicable"),exact(metadata!C760,"missing: not collected"),exact(metadata!C760,"missing: not provided"),exact(metadata!C760,"missing: restricted access"))),AND(IF(metadata!C760="",FALSE,ISNUMBER(VALUE(metadata!C760))),metadata!C760&gt;0))</f>
        <v>0</v>
      </c>
      <c r="X760">
        <f>AND(IF(metadata!D760="",FALSE,TRUE),exact(metadata!D760,"weeks"))</f>
        <v>0</v>
      </c>
      <c r="Y760">
        <f>AND(IF(metadata!E760="",FALSE,TRUE),exact(metadata!E760,"urban biome"))</f>
        <v>0</v>
      </c>
      <c r="Z760">
        <f>AND(IF(metadata!F760="",FALSE,TRUE),exact(metadata!F760,"animal-associated habitat"))</f>
        <v>0</v>
      </c>
      <c r="AA760">
        <f>AND(IF(metadata!G760="",FALSE,TRUE),exact(metadata!G760,"mouse"))</f>
        <v>0</v>
      </c>
      <c r="AB760">
        <f>AND(IF(metadata!H760="",FALSE,TRUE),exact(metadata!H760,"Mus musculus"))</f>
        <v>0</v>
      </c>
      <c r="AC760">
        <f>AND(IF(metadata!I760="",FALSE,TRUE),exact(metadata!I760,"10090"))</f>
        <v>0</v>
      </c>
      <c r="AD760">
        <f>OR(AND(IF(metadata!J760="",FALSE,TRUE),OR(exact(metadata!J760,"not applicable"),exact(metadata!J760,"missing: not collected"),exact(metadata!J760,"missing: not provided"),exact(metadata!J760,"missing: restricted access"))),AND(IF(metadata!J760="",FALSE,ISNUMBER(VALUE(metadata!J760))),metadata!J760&gt;0))</f>
        <v>0</v>
      </c>
      <c r="AE760">
        <f>AND(IF(metadata!K760="",FALSE,TRUE),exact(metadata!K760,"g"))</f>
        <v>0</v>
      </c>
    </row>
    <row r="761" spans="1:31">
      <c r="A761" s="5">
        <f>IF(B761=" "," ",HYPERLINK(CONCATENATE("#metadata!",ADDRESS(INDEX($Q$2:$Q$1001,MATCH(ROWS($O$2:O761),$O$2:$O$1001,0),0),1)),INDEX($T$2:$T$1001,MATCH(ROWS($O$2:O761),$O$2:$O$1001,0),0)))</f>
        <v>0</v>
      </c>
      <c r="B761" s="4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4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4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4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4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4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4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4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4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4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OR(AND(IF(metadata!C761="",FALSE,TRUE),OR(exact(metadata!C761,"not applicable"),exact(metadata!C761,"missing: not collected"),exact(metadata!C761,"missing: not provided"),exact(metadata!C761,"missing: restricted access"))),AND(IF(metadata!C761="",FALSE,ISNUMBER(VALUE(metadata!C761))),metadata!C761&gt;0))</f>
        <v>0</v>
      </c>
      <c r="X761">
        <f>AND(IF(metadata!D761="",FALSE,TRUE),exact(metadata!D761,"weeks"))</f>
        <v>0</v>
      </c>
      <c r="Y761">
        <f>AND(IF(metadata!E761="",FALSE,TRUE),exact(metadata!E761,"urban biome"))</f>
        <v>0</v>
      </c>
      <c r="Z761">
        <f>AND(IF(metadata!F761="",FALSE,TRUE),exact(metadata!F761,"animal-associated habitat"))</f>
        <v>0</v>
      </c>
      <c r="AA761">
        <f>AND(IF(metadata!G761="",FALSE,TRUE),exact(metadata!G761,"mouse"))</f>
        <v>0</v>
      </c>
      <c r="AB761">
        <f>AND(IF(metadata!H761="",FALSE,TRUE),exact(metadata!H761,"Mus musculus"))</f>
        <v>0</v>
      </c>
      <c r="AC761">
        <f>AND(IF(metadata!I761="",FALSE,TRUE),exact(metadata!I761,"10090"))</f>
        <v>0</v>
      </c>
      <c r="AD761">
        <f>OR(AND(IF(metadata!J761="",FALSE,TRUE),OR(exact(metadata!J761,"not applicable"),exact(metadata!J761,"missing: not collected"),exact(metadata!J761,"missing: not provided"),exact(metadata!J761,"missing: restricted access"))),AND(IF(metadata!J761="",FALSE,ISNUMBER(VALUE(metadata!J761))),metadata!J761&gt;0))</f>
        <v>0</v>
      </c>
      <c r="AE761">
        <f>AND(IF(metadata!K761="",FALSE,TRUE),exact(metadata!K761,"g"))</f>
        <v>0</v>
      </c>
    </row>
    <row r="762" spans="1:31">
      <c r="A762" s="5">
        <f>IF(B762=" "," ",HYPERLINK(CONCATENATE("#metadata!",ADDRESS(INDEX($Q$2:$Q$1001,MATCH(ROWS($O$2:O762),$O$2:$O$1001,0),0),1)),INDEX($T$2:$T$1001,MATCH(ROWS($O$2:O762),$O$2:$O$1001,0),0)))</f>
        <v>0</v>
      </c>
      <c r="B762" s="4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4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4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4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4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4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4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4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4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4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OR(AND(IF(metadata!C762="",FALSE,TRUE),OR(exact(metadata!C762,"not applicable"),exact(metadata!C762,"missing: not collected"),exact(metadata!C762,"missing: not provided"),exact(metadata!C762,"missing: restricted access"))),AND(IF(metadata!C762="",FALSE,ISNUMBER(VALUE(metadata!C762))),metadata!C762&gt;0))</f>
        <v>0</v>
      </c>
      <c r="X762">
        <f>AND(IF(metadata!D762="",FALSE,TRUE),exact(metadata!D762,"weeks"))</f>
        <v>0</v>
      </c>
      <c r="Y762">
        <f>AND(IF(metadata!E762="",FALSE,TRUE),exact(metadata!E762,"urban biome"))</f>
        <v>0</v>
      </c>
      <c r="Z762">
        <f>AND(IF(metadata!F762="",FALSE,TRUE),exact(metadata!F762,"animal-associated habitat"))</f>
        <v>0</v>
      </c>
      <c r="AA762">
        <f>AND(IF(metadata!G762="",FALSE,TRUE),exact(metadata!G762,"mouse"))</f>
        <v>0</v>
      </c>
      <c r="AB762">
        <f>AND(IF(metadata!H762="",FALSE,TRUE),exact(metadata!H762,"Mus musculus"))</f>
        <v>0</v>
      </c>
      <c r="AC762">
        <f>AND(IF(metadata!I762="",FALSE,TRUE),exact(metadata!I762,"10090"))</f>
        <v>0</v>
      </c>
      <c r="AD762">
        <f>OR(AND(IF(metadata!J762="",FALSE,TRUE),OR(exact(metadata!J762,"not applicable"),exact(metadata!J762,"missing: not collected"),exact(metadata!J762,"missing: not provided"),exact(metadata!J762,"missing: restricted access"))),AND(IF(metadata!J762="",FALSE,ISNUMBER(VALUE(metadata!J762))),metadata!J762&gt;0))</f>
        <v>0</v>
      </c>
      <c r="AE762">
        <f>AND(IF(metadata!K762="",FALSE,TRUE),exact(metadata!K762,"g"))</f>
        <v>0</v>
      </c>
    </row>
    <row r="763" spans="1:31">
      <c r="A763" s="5">
        <f>IF(B763=" "," ",HYPERLINK(CONCATENATE("#metadata!",ADDRESS(INDEX($Q$2:$Q$1001,MATCH(ROWS($O$2:O763),$O$2:$O$1001,0),0),1)),INDEX($T$2:$T$1001,MATCH(ROWS($O$2:O763),$O$2:$O$1001,0),0)))</f>
        <v>0</v>
      </c>
      <c r="B763" s="4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4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4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4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4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4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4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4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4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4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OR(AND(IF(metadata!C763="",FALSE,TRUE),OR(exact(metadata!C763,"not applicable"),exact(metadata!C763,"missing: not collected"),exact(metadata!C763,"missing: not provided"),exact(metadata!C763,"missing: restricted access"))),AND(IF(metadata!C763="",FALSE,ISNUMBER(VALUE(metadata!C763))),metadata!C763&gt;0))</f>
        <v>0</v>
      </c>
      <c r="X763">
        <f>AND(IF(metadata!D763="",FALSE,TRUE),exact(metadata!D763,"weeks"))</f>
        <v>0</v>
      </c>
      <c r="Y763">
        <f>AND(IF(metadata!E763="",FALSE,TRUE),exact(metadata!E763,"urban biome"))</f>
        <v>0</v>
      </c>
      <c r="Z763">
        <f>AND(IF(metadata!F763="",FALSE,TRUE),exact(metadata!F763,"animal-associated habitat"))</f>
        <v>0</v>
      </c>
      <c r="AA763">
        <f>AND(IF(metadata!G763="",FALSE,TRUE),exact(metadata!G763,"mouse"))</f>
        <v>0</v>
      </c>
      <c r="AB763">
        <f>AND(IF(metadata!H763="",FALSE,TRUE),exact(metadata!H763,"Mus musculus"))</f>
        <v>0</v>
      </c>
      <c r="AC763">
        <f>AND(IF(metadata!I763="",FALSE,TRUE),exact(metadata!I763,"10090"))</f>
        <v>0</v>
      </c>
      <c r="AD763">
        <f>OR(AND(IF(metadata!J763="",FALSE,TRUE),OR(exact(metadata!J763,"not applicable"),exact(metadata!J763,"missing: not collected"),exact(metadata!J763,"missing: not provided"),exact(metadata!J763,"missing: restricted access"))),AND(IF(metadata!J763="",FALSE,ISNUMBER(VALUE(metadata!J763))),metadata!J763&gt;0))</f>
        <v>0</v>
      </c>
      <c r="AE763">
        <f>AND(IF(metadata!K763="",FALSE,TRUE),exact(metadata!K763,"g"))</f>
        <v>0</v>
      </c>
    </row>
    <row r="764" spans="1:31">
      <c r="A764" s="5">
        <f>IF(B764=" "," ",HYPERLINK(CONCATENATE("#metadata!",ADDRESS(INDEX($Q$2:$Q$1001,MATCH(ROWS($O$2:O764),$O$2:$O$1001,0),0),1)),INDEX($T$2:$T$1001,MATCH(ROWS($O$2:O764),$O$2:$O$1001,0),0)))</f>
        <v>0</v>
      </c>
      <c r="B764" s="4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4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4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4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4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4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4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4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4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4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OR(AND(IF(metadata!C764="",FALSE,TRUE),OR(exact(metadata!C764,"not applicable"),exact(metadata!C764,"missing: not collected"),exact(metadata!C764,"missing: not provided"),exact(metadata!C764,"missing: restricted access"))),AND(IF(metadata!C764="",FALSE,ISNUMBER(VALUE(metadata!C764))),metadata!C764&gt;0))</f>
        <v>0</v>
      </c>
      <c r="X764">
        <f>AND(IF(metadata!D764="",FALSE,TRUE),exact(metadata!D764,"weeks"))</f>
        <v>0</v>
      </c>
      <c r="Y764">
        <f>AND(IF(metadata!E764="",FALSE,TRUE),exact(metadata!E764,"urban biome"))</f>
        <v>0</v>
      </c>
      <c r="Z764">
        <f>AND(IF(metadata!F764="",FALSE,TRUE),exact(metadata!F764,"animal-associated habitat"))</f>
        <v>0</v>
      </c>
      <c r="AA764">
        <f>AND(IF(metadata!G764="",FALSE,TRUE),exact(metadata!G764,"mouse"))</f>
        <v>0</v>
      </c>
      <c r="AB764">
        <f>AND(IF(metadata!H764="",FALSE,TRUE),exact(metadata!H764,"Mus musculus"))</f>
        <v>0</v>
      </c>
      <c r="AC764">
        <f>AND(IF(metadata!I764="",FALSE,TRUE),exact(metadata!I764,"10090"))</f>
        <v>0</v>
      </c>
      <c r="AD764">
        <f>OR(AND(IF(metadata!J764="",FALSE,TRUE),OR(exact(metadata!J764,"not applicable"),exact(metadata!J764,"missing: not collected"),exact(metadata!J764,"missing: not provided"),exact(metadata!J764,"missing: restricted access"))),AND(IF(metadata!J764="",FALSE,ISNUMBER(VALUE(metadata!J764))),metadata!J764&gt;0))</f>
        <v>0</v>
      </c>
      <c r="AE764">
        <f>AND(IF(metadata!K764="",FALSE,TRUE),exact(metadata!K764,"g"))</f>
        <v>0</v>
      </c>
    </row>
    <row r="765" spans="1:31">
      <c r="A765" s="5">
        <f>IF(B765=" "," ",HYPERLINK(CONCATENATE("#metadata!",ADDRESS(INDEX($Q$2:$Q$1001,MATCH(ROWS($O$2:O765),$O$2:$O$1001,0),0),1)),INDEX($T$2:$T$1001,MATCH(ROWS($O$2:O765),$O$2:$O$1001,0),0)))</f>
        <v>0</v>
      </c>
      <c r="B765" s="4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4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4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4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4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4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4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4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4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4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OR(AND(IF(metadata!C765="",FALSE,TRUE),OR(exact(metadata!C765,"not applicable"),exact(metadata!C765,"missing: not collected"),exact(metadata!C765,"missing: not provided"),exact(metadata!C765,"missing: restricted access"))),AND(IF(metadata!C765="",FALSE,ISNUMBER(VALUE(metadata!C765))),metadata!C765&gt;0))</f>
        <v>0</v>
      </c>
      <c r="X765">
        <f>AND(IF(metadata!D765="",FALSE,TRUE),exact(metadata!D765,"weeks"))</f>
        <v>0</v>
      </c>
      <c r="Y765">
        <f>AND(IF(metadata!E765="",FALSE,TRUE),exact(metadata!E765,"urban biome"))</f>
        <v>0</v>
      </c>
      <c r="Z765">
        <f>AND(IF(metadata!F765="",FALSE,TRUE),exact(metadata!F765,"animal-associated habitat"))</f>
        <v>0</v>
      </c>
      <c r="AA765">
        <f>AND(IF(metadata!G765="",FALSE,TRUE),exact(metadata!G765,"mouse"))</f>
        <v>0</v>
      </c>
      <c r="AB765">
        <f>AND(IF(metadata!H765="",FALSE,TRUE),exact(metadata!H765,"Mus musculus"))</f>
        <v>0</v>
      </c>
      <c r="AC765">
        <f>AND(IF(metadata!I765="",FALSE,TRUE),exact(metadata!I765,"10090"))</f>
        <v>0</v>
      </c>
      <c r="AD765">
        <f>OR(AND(IF(metadata!J765="",FALSE,TRUE),OR(exact(metadata!J765,"not applicable"),exact(metadata!J765,"missing: not collected"),exact(metadata!J765,"missing: not provided"),exact(metadata!J765,"missing: restricted access"))),AND(IF(metadata!J765="",FALSE,ISNUMBER(VALUE(metadata!J765))),metadata!J765&gt;0))</f>
        <v>0</v>
      </c>
      <c r="AE765">
        <f>AND(IF(metadata!K765="",FALSE,TRUE),exact(metadata!K765,"g"))</f>
        <v>0</v>
      </c>
    </row>
    <row r="766" spans="1:31">
      <c r="A766" s="5">
        <f>IF(B766=" "," ",HYPERLINK(CONCATENATE("#metadata!",ADDRESS(INDEX($Q$2:$Q$1001,MATCH(ROWS($O$2:O766),$O$2:$O$1001,0),0),1)),INDEX($T$2:$T$1001,MATCH(ROWS($O$2:O766),$O$2:$O$1001,0),0)))</f>
        <v>0</v>
      </c>
      <c r="B766" s="4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4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4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4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4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4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4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4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4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4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OR(AND(IF(metadata!C766="",FALSE,TRUE),OR(exact(metadata!C766,"not applicable"),exact(metadata!C766,"missing: not collected"),exact(metadata!C766,"missing: not provided"),exact(metadata!C766,"missing: restricted access"))),AND(IF(metadata!C766="",FALSE,ISNUMBER(VALUE(metadata!C766))),metadata!C766&gt;0))</f>
        <v>0</v>
      </c>
      <c r="X766">
        <f>AND(IF(metadata!D766="",FALSE,TRUE),exact(metadata!D766,"weeks"))</f>
        <v>0</v>
      </c>
      <c r="Y766">
        <f>AND(IF(metadata!E766="",FALSE,TRUE),exact(metadata!E766,"urban biome"))</f>
        <v>0</v>
      </c>
      <c r="Z766">
        <f>AND(IF(metadata!F766="",FALSE,TRUE),exact(metadata!F766,"animal-associated habitat"))</f>
        <v>0</v>
      </c>
      <c r="AA766">
        <f>AND(IF(metadata!G766="",FALSE,TRUE),exact(metadata!G766,"mouse"))</f>
        <v>0</v>
      </c>
      <c r="AB766">
        <f>AND(IF(metadata!H766="",FALSE,TRUE),exact(metadata!H766,"Mus musculus"))</f>
        <v>0</v>
      </c>
      <c r="AC766">
        <f>AND(IF(metadata!I766="",FALSE,TRUE),exact(metadata!I766,"10090"))</f>
        <v>0</v>
      </c>
      <c r="AD766">
        <f>OR(AND(IF(metadata!J766="",FALSE,TRUE),OR(exact(metadata!J766,"not applicable"),exact(metadata!J766,"missing: not collected"),exact(metadata!J766,"missing: not provided"),exact(metadata!J766,"missing: restricted access"))),AND(IF(metadata!J766="",FALSE,ISNUMBER(VALUE(metadata!J766))),metadata!J766&gt;0))</f>
        <v>0</v>
      </c>
      <c r="AE766">
        <f>AND(IF(metadata!K766="",FALSE,TRUE),exact(metadata!K766,"g"))</f>
        <v>0</v>
      </c>
    </row>
    <row r="767" spans="1:31">
      <c r="A767" s="5">
        <f>IF(B767=" "," ",HYPERLINK(CONCATENATE("#metadata!",ADDRESS(INDEX($Q$2:$Q$1001,MATCH(ROWS($O$2:O767),$O$2:$O$1001,0),0),1)),INDEX($T$2:$T$1001,MATCH(ROWS($O$2:O767),$O$2:$O$1001,0),0)))</f>
        <v>0</v>
      </c>
      <c r="B767" s="4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4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4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4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4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4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4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4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4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4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OR(AND(IF(metadata!C767="",FALSE,TRUE),OR(exact(metadata!C767,"not applicable"),exact(metadata!C767,"missing: not collected"),exact(metadata!C767,"missing: not provided"),exact(metadata!C767,"missing: restricted access"))),AND(IF(metadata!C767="",FALSE,ISNUMBER(VALUE(metadata!C767))),metadata!C767&gt;0))</f>
        <v>0</v>
      </c>
      <c r="X767">
        <f>AND(IF(metadata!D767="",FALSE,TRUE),exact(metadata!D767,"weeks"))</f>
        <v>0</v>
      </c>
      <c r="Y767">
        <f>AND(IF(metadata!E767="",FALSE,TRUE),exact(metadata!E767,"urban biome"))</f>
        <v>0</v>
      </c>
      <c r="Z767">
        <f>AND(IF(metadata!F767="",FALSE,TRUE),exact(metadata!F767,"animal-associated habitat"))</f>
        <v>0</v>
      </c>
      <c r="AA767">
        <f>AND(IF(metadata!G767="",FALSE,TRUE),exact(metadata!G767,"mouse"))</f>
        <v>0</v>
      </c>
      <c r="AB767">
        <f>AND(IF(metadata!H767="",FALSE,TRUE),exact(metadata!H767,"Mus musculus"))</f>
        <v>0</v>
      </c>
      <c r="AC767">
        <f>AND(IF(metadata!I767="",FALSE,TRUE),exact(metadata!I767,"10090"))</f>
        <v>0</v>
      </c>
      <c r="AD767">
        <f>OR(AND(IF(metadata!J767="",FALSE,TRUE),OR(exact(metadata!J767,"not applicable"),exact(metadata!J767,"missing: not collected"),exact(metadata!J767,"missing: not provided"),exact(metadata!J767,"missing: restricted access"))),AND(IF(metadata!J767="",FALSE,ISNUMBER(VALUE(metadata!J767))),metadata!J767&gt;0))</f>
        <v>0</v>
      </c>
      <c r="AE767">
        <f>AND(IF(metadata!K767="",FALSE,TRUE),exact(metadata!K767,"g"))</f>
        <v>0</v>
      </c>
    </row>
    <row r="768" spans="1:31">
      <c r="A768" s="5">
        <f>IF(B768=" "," ",HYPERLINK(CONCATENATE("#metadata!",ADDRESS(INDEX($Q$2:$Q$1001,MATCH(ROWS($O$2:O768),$O$2:$O$1001,0),0),1)),INDEX($T$2:$T$1001,MATCH(ROWS($O$2:O768),$O$2:$O$1001,0),0)))</f>
        <v>0</v>
      </c>
      <c r="B768" s="4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4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4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4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4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4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4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4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4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4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OR(AND(IF(metadata!C768="",FALSE,TRUE),OR(exact(metadata!C768,"not applicable"),exact(metadata!C768,"missing: not collected"),exact(metadata!C768,"missing: not provided"),exact(metadata!C768,"missing: restricted access"))),AND(IF(metadata!C768="",FALSE,ISNUMBER(VALUE(metadata!C768))),metadata!C768&gt;0))</f>
        <v>0</v>
      </c>
      <c r="X768">
        <f>AND(IF(metadata!D768="",FALSE,TRUE),exact(metadata!D768,"weeks"))</f>
        <v>0</v>
      </c>
      <c r="Y768">
        <f>AND(IF(metadata!E768="",FALSE,TRUE),exact(metadata!E768,"urban biome"))</f>
        <v>0</v>
      </c>
      <c r="Z768">
        <f>AND(IF(metadata!F768="",FALSE,TRUE),exact(metadata!F768,"animal-associated habitat"))</f>
        <v>0</v>
      </c>
      <c r="AA768">
        <f>AND(IF(metadata!G768="",FALSE,TRUE),exact(metadata!G768,"mouse"))</f>
        <v>0</v>
      </c>
      <c r="AB768">
        <f>AND(IF(metadata!H768="",FALSE,TRUE),exact(metadata!H768,"Mus musculus"))</f>
        <v>0</v>
      </c>
      <c r="AC768">
        <f>AND(IF(metadata!I768="",FALSE,TRUE),exact(metadata!I768,"10090"))</f>
        <v>0</v>
      </c>
      <c r="AD768">
        <f>OR(AND(IF(metadata!J768="",FALSE,TRUE),OR(exact(metadata!J768,"not applicable"),exact(metadata!J768,"missing: not collected"),exact(metadata!J768,"missing: not provided"),exact(metadata!J768,"missing: restricted access"))),AND(IF(metadata!J768="",FALSE,ISNUMBER(VALUE(metadata!J768))),metadata!J768&gt;0))</f>
        <v>0</v>
      </c>
      <c r="AE768">
        <f>AND(IF(metadata!K768="",FALSE,TRUE),exact(metadata!K768,"g"))</f>
        <v>0</v>
      </c>
    </row>
    <row r="769" spans="1:31">
      <c r="A769" s="5">
        <f>IF(B769=" "," ",HYPERLINK(CONCATENATE("#metadata!",ADDRESS(INDEX($Q$2:$Q$1001,MATCH(ROWS($O$2:O769),$O$2:$O$1001,0),0),1)),INDEX($T$2:$T$1001,MATCH(ROWS($O$2:O769),$O$2:$O$1001,0),0)))</f>
        <v>0</v>
      </c>
      <c r="B769" s="4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4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4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4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4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4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4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4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4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4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OR(AND(IF(metadata!C769="",FALSE,TRUE),OR(exact(metadata!C769,"not applicable"),exact(metadata!C769,"missing: not collected"),exact(metadata!C769,"missing: not provided"),exact(metadata!C769,"missing: restricted access"))),AND(IF(metadata!C769="",FALSE,ISNUMBER(VALUE(metadata!C769))),metadata!C769&gt;0))</f>
        <v>0</v>
      </c>
      <c r="X769">
        <f>AND(IF(metadata!D769="",FALSE,TRUE),exact(metadata!D769,"weeks"))</f>
        <v>0</v>
      </c>
      <c r="Y769">
        <f>AND(IF(metadata!E769="",FALSE,TRUE),exact(metadata!E769,"urban biome"))</f>
        <v>0</v>
      </c>
      <c r="Z769">
        <f>AND(IF(metadata!F769="",FALSE,TRUE),exact(metadata!F769,"animal-associated habitat"))</f>
        <v>0</v>
      </c>
      <c r="AA769">
        <f>AND(IF(metadata!G769="",FALSE,TRUE),exact(metadata!G769,"mouse"))</f>
        <v>0</v>
      </c>
      <c r="AB769">
        <f>AND(IF(metadata!H769="",FALSE,TRUE),exact(metadata!H769,"Mus musculus"))</f>
        <v>0</v>
      </c>
      <c r="AC769">
        <f>AND(IF(metadata!I769="",FALSE,TRUE),exact(metadata!I769,"10090"))</f>
        <v>0</v>
      </c>
      <c r="AD769">
        <f>OR(AND(IF(metadata!J769="",FALSE,TRUE),OR(exact(metadata!J769,"not applicable"),exact(metadata!J769,"missing: not collected"),exact(metadata!J769,"missing: not provided"),exact(metadata!J769,"missing: restricted access"))),AND(IF(metadata!J769="",FALSE,ISNUMBER(VALUE(metadata!J769))),metadata!J769&gt;0))</f>
        <v>0</v>
      </c>
      <c r="AE769">
        <f>AND(IF(metadata!K769="",FALSE,TRUE),exact(metadata!K769,"g"))</f>
        <v>0</v>
      </c>
    </row>
    <row r="770" spans="1:31">
      <c r="A770" s="5">
        <f>IF(B770=" "," ",HYPERLINK(CONCATENATE("#metadata!",ADDRESS(INDEX($Q$2:$Q$1001,MATCH(ROWS($O$2:O770),$O$2:$O$1001,0),0),1)),INDEX($T$2:$T$1001,MATCH(ROWS($O$2:O770),$O$2:$O$1001,0),0)))</f>
        <v>0</v>
      </c>
      <c r="B770" s="4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4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4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4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4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4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4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4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4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4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OR(AND(IF(metadata!C770="",FALSE,TRUE),OR(exact(metadata!C770,"not applicable"),exact(metadata!C770,"missing: not collected"),exact(metadata!C770,"missing: not provided"),exact(metadata!C770,"missing: restricted access"))),AND(IF(metadata!C770="",FALSE,ISNUMBER(VALUE(metadata!C770))),metadata!C770&gt;0))</f>
        <v>0</v>
      </c>
      <c r="X770">
        <f>AND(IF(metadata!D770="",FALSE,TRUE),exact(metadata!D770,"weeks"))</f>
        <v>0</v>
      </c>
      <c r="Y770">
        <f>AND(IF(metadata!E770="",FALSE,TRUE),exact(metadata!E770,"urban biome"))</f>
        <v>0</v>
      </c>
      <c r="Z770">
        <f>AND(IF(metadata!F770="",FALSE,TRUE),exact(metadata!F770,"animal-associated habitat"))</f>
        <v>0</v>
      </c>
      <c r="AA770">
        <f>AND(IF(metadata!G770="",FALSE,TRUE),exact(metadata!G770,"mouse"))</f>
        <v>0</v>
      </c>
      <c r="AB770">
        <f>AND(IF(metadata!H770="",FALSE,TRUE),exact(metadata!H770,"Mus musculus"))</f>
        <v>0</v>
      </c>
      <c r="AC770">
        <f>AND(IF(metadata!I770="",FALSE,TRUE),exact(metadata!I770,"10090"))</f>
        <v>0</v>
      </c>
      <c r="AD770">
        <f>OR(AND(IF(metadata!J770="",FALSE,TRUE),OR(exact(metadata!J770,"not applicable"),exact(metadata!J770,"missing: not collected"),exact(metadata!J770,"missing: not provided"),exact(metadata!J770,"missing: restricted access"))),AND(IF(metadata!J770="",FALSE,ISNUMBER(VALUE(metadata!J770))),metadata!J770&gt;0))</f>
        <v>0</v>
      </c>
      <c r="AE770">
        <f>AND(IF(metadata!K770="",FALSE,TRUE),exact(metadata!K770,"g"))</f>
        <v>0</v>
      </c>
    </row>
    <row r="771" spans="1:31">
      <c r="A771" s="5">
        <f>IF(B771=" "," ",HYPERLINK(CONCATENATE("#metadata!",ADDRESS(INDEX($Q$2:$Q$1001,MATCH(ROWS($O$2:O771),$O$2:$O$1001,0),0),1)),INDEX($T$2:$T$1001,MATCH(ROWS($O$2:O771),$O$2:$O$1001,0),0)))</f>
        <v>0</v>
      </c>
      <c r="B771" s="4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4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4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4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4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4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4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4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4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4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OR(AND(IF(metadata!C771="",FALSE,TRUE),OR(exact(metadata!C771,"not applicable"),exact(metadata!C771,"missing: not collected"),exact(metadata!C771,"missing: not provided"),exact(metadata!C771,"missing: restricted access"))),AND(IF(metadata!C771="",FALSE,ISNUMBER(VALUE(metadata!C771))),metadata!C771&gt;0))</f>
        <v>0</v>
      </c>
      <c r="X771">
        <f>AND(IF(metadata!D771="",FALSE,TRUE),exact(metadata!D771,"weeks"))</f>
        <v>0</v>
      </c>
      <c r="Y771">
        <f>AND(IF(metadata!E771="",FALSE,TRUE),exact(metadata!E771,"urban biome"))</f>
        <v>0</v>
      </c>
      <c r="Z771">
        <f>AND(IF(metadata!F771="",FALSE,TRUE),exact(metadata!F771,"animal-associated habitat"))</f>
        <v>0</v>
      </c>
      <c r="AA771">
        <f>AND(IF(metadata!G771="",FALSE,TRUE),exact(metadata!G771,"mouse"))</f>
        <v>0</v>
      </c>
      <c r="AB771">
        <f>AND(IF(metadata!H771="",FALSE,TRUE),exact(metadata!H771,"Mus musculus"))</f>
        <v>0</v>
      </c>
      <c r="AC771">
        <f>AND(IF(metadata!I771="",FALSE,TRUE),exact(metadata!I771,"10090"))</f>
        <v>0</v>
      </c>
      <c r="AD771">
        <f>OR(AND(IF(metadata!J771="",FALSE,TRUE),OR(exact(metadata!J771,"not applicable"),exact(metadata!J771,"missing: not collected"),exact(metadata!J771,"missing: not provided"),exact(metadata!J771,"missing: restricted access"))),AND(IF(metadata!J771="",FALSE,ISNUMBER(VALUE(metadata!J771))),metadata!J771&gt;0))</f>
        <v>0</v>
      </c>
      <c r="AE771">
        <f>AND(IF(metadata!K771="",FALSE,TRUE),exact(metadata!K771,"g"))</f>
        <v>0</v>
      </c>
    </row>
    <row r="772" spans="1:31">
      <c r="A772" s="5">
        <f>IF(B772=" "," ",HYPERLINK(CONCATENATE("#metadata!",ADDRESS(INDEX($Q$2:$Q$1001,MATCH(ROWS($O$2:O772),$O$2:$O$1001,0),0),1)),INDEX($T$2:$T$1001,MATCH(ROWS($O$2:O772),$O$2:$O$1001,0),0)))</f>
        <v>0</v>
      </c>
      <c r="B772" s="4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4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4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4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4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4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4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4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4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4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OR(AND(IF(metadata!C772="",FALSE,TRUE),OR(exact(metadata!C772,"not applicable"),exact(metadata!C772,"missing: not collected"),exact(metadata!C772,"missing: not provided"),exact(metadata!C772,"missing: restricted access"))),AND(IF(metadata!C772="",FALSE,ISNUMBER(VALUE(metadata!C772))),metadata!C772&gt;0))</f>
        <v>0</v>
      </c>
      <c r="X772">
        <f>AND(IF(metadata!D772="",FALSE,TRUE),exact(metadata!D772,"weeks"))</f>
        <v>0</v>
      </c>
      <c r="Y772">
        <f>AND(IF(metadata!E772="",FALSE,TRUE),exact(metadata!E772,"urban biome"))</f>
        <v>0</v>
      </c>
      <c r="Z772">
        <f>AND(IF(metadata!F772="",FALSE,TRUE),exact(metadata!F772,"animal-associated habitat"))</f>
        <v>0</v>
      </c>
      <c r="AA772">
        <f>AND(IF(metadata!G772="",FALSE,TRUE),exact(metadata!G772,"mouse"))</f>
        <v>0</v>
      </c>
      <c r="AB772">
        <f>AND(IF(metadata!H772="",FALSE,TRUE),exact(metadata!H772,"Mus musculus"))</f>
        <v>0</v>
      </c>
      <c r="AC772">
        <f>AND(IF(metadata!I772="",FALSE,TRUE),exact(metadata!I772,"10090"))</f>
        <v>0</v>
      </c>
      <c r="AD772">
        <f>OR(AND(IF(metadata!J772="",FALSE,TRUE),OR(exact(metadata!J772,"not applicable"),exact(metadata!J772,"missing: not collected"),exact(metadata!J772,"missing: not provided"),exact(metadata!J772,"missing: restricted access"))),AND(IF(metadata!J772="",FALSE,ISNUMBER(VALUE(metadata!J772))),metadata!J772&gt;0))</f>
        <v>0</v>
      </c>
      <c r="AE772">
        <f>AND(IF(metadata!K772="",FALSE,TRUE),exact(metadata!K772,"g"))</f>
        <v>0</v>
      </c>
    </row>
    <row r="773" spans="1:31">
      <c r="A773" s="5">
        <f>IF(B773=" "," ",HYPERLINK(CONCATENATE("#metadata!",ADDRESS(INDEX($Q$2:$Q$1001,MATCH(ROWS($O$2:O773),$O$2:$O$1001,0),0),1)),INDEX($T$2:$T$1001,MATCH(ROWS($O$2:O773),$O$2:$O$1001,0),0)))</f>
        <v>0</v>
      </c>
      <c r="B773" s="4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4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4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4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4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4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4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4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4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4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OR(AND(IF(metadata!C773="",FALSE,TRUE),OR(exact(metadata!C773,"not applicable"),exact(metadata!C773,"missing: not collected"),exact(metadata!C773,"missing: not provided"),exact(metadata!C773,"missing: restricted access"))),AND(IF(metadata!C773="",FALSE,ISNUMBER(VALUE(metadata!C773))),metadata!C773&gt;0))</f>
        <v>0</v>
      </c>
      <c r="X773">
        <f>AND(IF(metadata!D773="",FALSE,TRUE),exact(metadata!D773,"weeks"))</f>
        <v>0</v>
      </c>
      <c r="Y773">
        <f>AND(IF(metadata!E773="",FALSE,TRUE),exact(metadata!E773,"urban biome"))</f>
        <v>0</v>
      </c>
      <c r="Z773">
        <f>AND(IF(metadata!F773="",FALSE,TRUE),exact(metadata!F773,"animal-associated habitat"))</f>
        <v>0</v>
      </c>
      <c r="AA773">
        <f>AND(IF(metadata!G773="",FALSE,TRUE),exact(metadata!G773,"mouse"))</f>
        <v>0</v>
      </c>
      <c r="AB773">
        <f>AND(IF(metadata!H773="",FALSE,TRUE),exact(metadata!H773,"Mus musculus"))</f>
        <v>0</v>
      </c>
      <c r="AC773">
        <f>AND(IF(metadata!I773="",FALSE,TRUE),exact(metadata!I773,"10090"))</f>
        <v>0</v>
      </c>
      <c r="AD773">
        <f>OR(AND(IF(metadata!J773="",FALSE,TRUE),OR(exact(metadata!J773,"not applicable"),exact(metadata!J773,"missing: not collected"),exact(metadata!J773,"missing: not provided"),exact(metadata!J773,"missing: restricted access"))),AND(IF(metadata!J773="",FALSE,ISNUMBER(VALUE(metadata!J773))),metadata!J773&gt;0))</f>
        <v>0</v>
      </c>
      <c r="AE773">
        <f>AND(IF(metadata!K773="",FALSE,TRUE),exact(metadata!K773,"g"))</f>
        <v>0</v>
      </c>
    </row>
    <row r="774" spans="1:31">
      <c r="A774" s="5">
        <f>IF(B774=" "," ",HYPERLINK(CONCATENATE("#metadata!",ADDRESS(INDEX($Q$2:$Q$1001,MATCH(ROWS($O$2:O774),$O$2:$O$1001,0),0),1)),INDEX($T$2:$T$1001,MATCH(ROWS($O$2:O774),$O$2:$O$1001,0),0)))</f>
        <v>0</v>
      </c>
      <c r="B774" s="4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4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4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4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4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4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4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4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4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4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OR(AND(IF(metadata!C774="",FALSE,TRUE),OR(exact(metadata!C774,"not applicable"),exact(metadata!C774,"missing: not collected"),exact(metadata!C774,"missing: not provided"),exact(metadata!C774,"missing: restricted access"))),AND(IF(metadata!C774="",FALSE,ISNUMBER(VALUE(metadata!C774))),metadata!C774&gt;0))</f>
        <v>0</v>
      </c>
      <c r="X774">
        <f>AND(IF(metadata!D774="",FALSE,TRUE),exact(metadata!D774,"weeks"))</f>
        <v>0</v>
      </c>
      <c r="Y774">
        <f>AND(IF(metadata!E774="",FALSE,TRUE),exact(metadata!E774,"urban biome"))</f>
        <v>0</v>
      </c>
      <c r="Z774">
        <f>AND(IF(metadata!F774="",FALSE,TRUE),exact(metadata!F774,"animal-associated habitat"))</f>
        <v>0</v>
      </c>
      <c r="AA774">
        <f>AND(IF(metadata!G774="",FALSE,TRUE),exact(metadata!G774,"mouse"))</f>
        <v>0</v>
      </c>
      <c r="AB774">
        <f>AND(IF(metadata!H774="",FALSE,TRUE),exact(metadata!H774,"Mus musculus"))</f>
        <v>0</v>
      </c>
      <c r="AC774">
        <f>AND(IF(metadata!I774="",FALSE,TRUE),exact(metadata!I774,"10090"))</f>
        <v>0</v>
      </c>
      <c r="AD774">
        <f>OR(AND(IF(metadata!J774="",FALSE,TRUE),OR(exact(metadata!J774,"not applicable"),exact(metadata!J774,"missing: not collected"),exact(metadata!J774,"missing: not provided"),exact(metadata!J774,"missing: restricted access"))),AND(IF(metadata!J774="",FALSE,ISNUMBER(VALUE(metadata!J774))),metadata!J774&gt;0))</f>
        <v>0</v>
      </c>
      <c r="AE774">
        <f>AND(IF(metadata!K774="",FALSE,TRUE),exact(metadata!K774,"g"))</f>
        <v>0</v>
      </c>
    </row>
    <row r="775" spans="1:31">
      <c r="A775" s="5">
        <f>IF(B775=" "," ",HYPERLINK(CONCATENATE("#metadata!",ADDRESS(INDEX($Q$2:$Q$1001,MATCH(ROWS($O$2:O775),$O$2:$O$1001,0),0),1)),INDEX($T$2:$T$1001,MATCH(ROWS($O$2:O775),$O$2:$O$1001,0),0)))</f>
        <v>0</v>
      </c>
      <c r="B775" s="4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4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4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4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4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4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4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4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4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4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OR(AND(IF(metadata!C775="",FALSE,TRUE),OR(exact(metadata!C775,"not applicable"),exact(metadata!C775,"missing: not collected"),exact(metadata!C775,"missing: not provided"),exact(metadata!C775,"missing: restricted access"))),AND(IF(metadata!C775="",FALSE,ISNUMBER(VALUE(metadata!C775))),metadata!C775&gt;0))</f>
        <v>0</v>
      </c>
      <c r="X775">
        <f>AND(IF(metadata!D775="",FALSE,TRUE),exact(metadata!D775,"weeks"))</f>
        <v>0</v>
      </c>
      <c r="Y775">
        <f>AND(IF(metadata!E775="",FALSE,TRUE),exact(metadata!E775,"urban biome"))</f>
        <v>0</v>
      </c>
      <c r="Z775">
        <f>AND(IF(metadata!F775="",FALSE,TRUE),exact(metadata!F775,"animal-associated habitat"))</f>
        <v>0</v>
      </c>
      <c r="AA775">
        <f>AND(IF(metadata!G775="",FALSE,TRUE),exact(metadata!G775,"mouse"))</f>
        <v>0</v>
      </c>
      <c r="AB775">
        <f>AND(IF(metadata!H775="",FALSE,TRUE),exact(metadata!H775,"Mus musculus"))</f>
        <v>0</v>
      </c>
      <c r="AC775">
        <f>AND(IF(metadata!I775="",FALSE,TRUE),exact(metadata!I775,"10090"))</f>
        <v>0</v>
      </c>
      <c r="AD775">
        <f>OR(AND(IF(metadata!J775="",FALSE,TRUE),OR(exact(metadata!J775,"not applicable"),exact(metadata!J775,"missing: not collected"),exact(metadata!J775,"missing: not provided"),exact(metadata!J775,"missing: restricted access"))),AND(IF(metadata!J775="",FALSE,ISNUMBER(VALUE(metadata!J775))),metadata!J775&gt;0))</f>
        <v>0</v>
      </c>
      <c r="AE775">
        <f>AND(IF(metadata!K775="",FALSE,TRUE),exact(metadata!K775,"g"))</f>
        <v>0</v>
      </c>
    </row>
    <row r="776" spans="1:31">
      <c r="A776" s="5">
        <f>IF(B776=" "," ",HYPERLINK(CONCATENATE("#metadata!",ADDRESS(INDEX($Q$2:$Q$1001,MATCH(ROWS($O$2:O776),$O$2:$O$1001,0),0),1)),INDEX($T$2:$T$1001,MATCH(ROWS($O$2:O776),$O$2:$O$1001,0),0)))</f>
        <v>0</v>
      </c>
      <c r="B776" s="4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4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4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4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4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4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4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4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4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4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OR(AND(IF(metadata!C776="",FALSE,TRUE),OR(exact(metadata!C776,"not applicable"),exact(metadata!C776,"missing: not collected"),exact(metadata!C776,"missing: not provided"),exact(metadata!C776,"missing: restricted access"))),AND(IF(metadata!C776="",FALSE,ISNUMBER(VALUE(metadata!C776))),metadata!C776&gt;0))</f>
        <v>0</v>
      </c>
      <c r="X776">
        <f>AND(IF(metadata!D776="",FALSE,TRUE),exact(metadata!D776,"weeks"))</f>
        <v>0</v>
      </c>
      <c r="Y776">
        <f>AND(IF(metadata!E776="",FALSE,TRUE),exact(metadata!E776,"urban biome"))</f>
        <v>0</v>
      </c>
      <c r="Z776">
        <f>AND(IF(metadata!F776="",FALSE,TRUE),exact(metadata!F776,"animal-associated habitat"))</f>
        <v>0</v>
      </c>
      <c r="AA776">
        <f>AND(IF(metadata!G776="",FALSE,TRUE),exact(metadata!G776,"mouse"))</f>
        <v>0</v>
      </c>
      <c r="AB776">
        <f>AND(IF(metadata!H776="",FALSE,TRUE),exact(metadata!H776,"Mus musculus"))</f>
        <v>0</v>
      </c>
      <c r="AC776">
        <f>AND(IF(metadata!I776="",FALSE,TRUE),exact(metadata!I776,"10090"))</f>
        <v>0</v>
      </c>
      <c r="AD776">
        <f>OR(AND(IF(metadata!J776="",FALSE,TRUE),OR(exact(metadata!J776,"not applicable"),exact(metadata!J776,"missing: not collected"),exact(metadata!J776,"missing: not provided"),exact(metadata!J776,"missing: restricted access"))),AND(IF(metadata!J776="",FALSE,ISNUMBER(VALUE(metadata!J776))),metadata!J776&gt;0))</f>
        <v>0</v>
      </c>
      <c r="AE776">
        <f>AND(IF(metadata!K776="",FALSE,TRUE),exact(metadata!K776,"g"))</f>
        <v>0</v>
      </c>
    </row>
    <row r="777" spans="1:31">
      <c r="A777" s="5">
        <f>IF(B777=" "," ",HYPERLINK(CONCATENATE("#metadata!",ADDRESS(INDEX($Q$2:$Q$1001,MATCH(ROWS($O$2:O777),$O$2:$O$1001,0),0),1)),INDEX($T$2:$T$1001,MATCH(ROWS($O$2:O777),$O$2:$O$1001,0),0)))</f>
        <v>0</v>
      </c>
      <c r="B777" s="4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4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4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4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4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4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4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4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4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4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OR(AND(IF(metadata!C777="",FALSE,TRUE),OR(exact(metadata!C777,"not applicable"),exact(metadata!C777,"missing: not collected"),exact(metadata!C777,"missing: not provided"),exact(metadata!C777,"missing: restricted access"))),AND(IF(metadata!C777="",FALSE,ISNUMBER(VALUE(metadata!C777))),metadata!C777&gt;0))</f>
        <v>0</v>
      </c>
      <c r="X777">
        <f>AND(IF(metadata!D777="",FALSE,TRUE),exact(metadata!D777,"weeks"))</f>
        <v>0</v>
      </c>
      <c r="Y777">
        <f>AND(IF(metadata!E777="",FALSE,TRUE),exact(metadata!E777,"urban biome"))</f>
        <v>0</v>
      </c>
      <c r="Z777">
        <f>AND(IF(metadata!F777="",FALSE,TRUE),exact(metadata!F777,"animal-associated habitat"))</f>
        <v>0</v>
      </c>
      <c r="AA777">
        <f>AND(IF(metadata!G777="",FALSE,TRUE),exact(metadata!G777,"mouse"))</f>
        <v>0</v>
      </c>
      <c r="AB777">
        <f>AND(IF(metadata!H777="",FALSE,TRUE),exact(metadata!H777,"Mus musculus"))</f>
        <v>0</v>
      </c>
      <c r="AC777">
        <f>AND(IF(metadata!I777="",FALSE,TRUE),exact(metadata!I777,"10090"))</f>
        <v>0</v>
      </c>
      <c r="AD777">
        <f>OR(AND(IF(metadata!J777="",FALSE,TRUE),OR(exact(metadata!J777,"not applicable"),exact(metadata!J777,"missing: not collected"),exact(metadata!J777,"missing: not provided"),exact(metadata!J777,"missing: restricted access"))),AND(IF(metadata!J777="",FALSE,ISNUMBER(VALUE(metadata!J777))),metadata!J777&gt;0))</f>
        <v>0</v>
      </c>
      <c r="AE777">
        <f>AND(IF(metadata!K777="",FALSE,TRUE),exact(metadata!K777,"g"))</f>
        <v>0</v>
      </c>
    </row>
    <row r="778" spans="1:31">
      <c r="A778" s="5">
        <f>IF(B778=" "," ",HYPERLINK(CONCATENATE("#metadata!",ADDRESS(INDEX($Q$2:$Q$1001,MATCH(ROWS($O$2:O778),$O$2:$O$1001,0),0),1)),INDEX($T$2:$T$1001,MATCH(ROWS($O$2:O778),$O$2:$O$1001,0),0)))</f>
        <v>0</v>
      </c>
      <c r="B778" s="4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4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4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4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4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4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4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4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4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4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OR(AND(IF(metadata!C778="",FALSE,TRUE),OR(exact(metadata!C778,"not applicable"),exact(metadata!C778,"missing: not collected"),exact(metadata!C778,"missing: not provided"),exact(metadata!C778,"missing: restricted access"))),AND(IF(metadata!C778="",FALSE,ISNUMBER(VALUE(metadata!C778))),metadata!C778&gt;0))</f>
        <v>0</v>
      </c>
      <c r="X778">
        <f>AND(IF(metadata!D778="",FALSE,TRUE),exact(metadata!D778,"weeks"))</f>
        <v>0</v>
      </c>
      <c r="Y778">
        <f>AND(IF(metadata!E778="",FALSE,TRUE),exact(metadata!E778,"urban biome"))</f>
        <v>0</v>
      </c>
      <c r="Z778">
        <f>AND(IF(metadata!F778="",FALSE,TRUE),exact(metadata!F778,"animal-associated habitat"))</f>
        <v>0</v>
      </c>
      <c r="AA778">
        <f>AND(IF(metadata!G778="",FALSE,TRUE),exact(metadata!G778,"mouse"))</f>
        <v>0</v>
      </c>
      <c r="AB778">
        <f>AND(IF(metadata!H778="",FALSE,TRUE),exact(metadata!H778,"Mus musculus"))</f>
        <v>0</v>
      </c>
      <c r="AC778">
        <f>AND(IF(metadata!I778="",FALSE,TRUE),exact(metadata!I778,"10090"))</f>
        <v>0</v>
      </c>
      <c r="AD778">
        <f>OR(AND(IF(metadata!J778="",FALSE,TRUE),OR(exact(metadata!J778,"not applicable"),exact(metadata!J778,"missing: not collected"),exact(metadata!J778,"missing: not provided"),exact(metadata!J778,"missing: restricted access"))),AND(IF(metadata!J778="",FALSE,ISNUMBER(VALUE(metadata!J778))),metadata!J778&gt;0))</f>
        <v>0</v>
      </c>
      <c r="AE778">
        <f>AND(IF(metadata!K778="",FALSE,TRUE),exact(metadata!K778,"g"))</f>
        <v>0</v>
      </c>
    </row>
    <row r="779" spans="1:31">
      <c r="A779" s="5">
        <f>IF(B779=" "," ",HYPERLINK(CONCATENATE("#metadata!",ADDRESS(INDEX($Q$2:$Q$1001,MATCH(ROWS($O$2:O779),$O$2:$O$1001,0),0),1)),INDEX($T$2:$T$1001,MATCH(ROWS($O$2:O779),$O$2:$O$1001,0),0)))</f>
        <v>0</v>
      </c>
      <c r="B779" s="4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4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4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4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4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4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4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4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4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4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OR(AND(IF(metadata!C779="",FALSE,TRUE),OR(exact(metadata!C779,"not applicable"),exact(metadata!C779,"missing: not collected"),exact(metadata!C779,"missing: not provided"),exact(metadata!C779,"missing: restricted access"))),AND(IF(metadata!C779="",FALSE,ISNUMBER(VALUE(metadata!C779))),metadata!C779&gt;0))</f>
        <v>0</v>
      </c>
      <c r="X779">
        <f>AND(IF(metadata!D779="",FALSE,TRUE),exact(metadata!D779,"weeks"))</f>
        <v>0</v>
      </c>
      <c r="Y779">
        <f>AND(IF(metadata!E779="",FALSE,TRUE),exact(metadata!E779,"urban biome"))</f>
        <v>0</v>
      </c>
      <c r="Z779">
        <f>AND(IF(metadata!F779="",FALSE,TRUE),exact(metadata!F779,"animal-associated habitat"))</f>
        <v>0</v>
      </c>
      <c r="AA779">
        <f>AND(IF(metadata!G779="",FALSE,TRUE),exact(metadata!G779,"mouse"))</f>
        <v>0</v>
      </c>
      <c r="AB779">
        <f>AND(IF(metadata!H779="",FALSE,TRUE),exact(metadata!H779,"Mus musculus"))</f>
        <v>0</v>
      </c>
      <c r="AC779">
        <f>AND(IF(metadata!I779="",FALSE,TRUE),exact(metadata!I779,"10090"))</f>
        <v>0</v>
      </c>
      <c r="AD779">
        <f>OR(AND(IF(metadata!J779="",FALSE,TRUE),OR(exact(metadata!J779,"not applicable"),exact(metadata!J779,"missing: not collected"),exact(metadata!J779,"missing: not provided"),exact(metadata!J779,"missing: restricted access"))),AND(IF(metadata!J779="",FALSE,ISNUMBER(VALUE(metadata!J779))),metadata!J779&gt;0))</f>
        <v>0</v>
      </c>
      <c r="AE779">
        <f>AND(IF(metadata!K779="",FALSE,TRUE),exact(metadata!K779,"g"))</f>
        <v>0</v>
      </c>
    </row>
    <row r="780" spans="1:31">
      <c r="A780" s="5">
        <f>IF(B780=" "," ",HYPERLINK(CONCATENATE("#metadata!",ADDRESS(INDEX($Q$2:$Q$1001,MATCH(ROWS($O$2:O780),$O$2:$O$1001,0),0),1)),INDEX($T$2:$T$1001,MATCH(ROWS($O$2:O780),$O$2:$O$1001,0),0)))</f>
        <v>0</v>
      </c>
      <c r="B780" s="4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4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4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4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4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4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4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4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4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4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OR(AND(IF(metadata!C780="",FALSE,TRUE),OR(exact(metadata!C780,"not applicable"),exact(metadata!C780,"missing: not collected"),exact(metadata!C780,"missing: not provided"),exact(metadata!C780,"missing: restricted access"))),AND(IF(metadata!C780="",FALSE,ISNUMBER(VALUE(metadata!C780))),metadata!C780&gt;0))</f>
        <v>0</v>
      </c>
      <c r="X780">
        <f>AND(IF(metadata!D780="",FALSE,TRUE),exact(metadata!D780,"weeks"))</f>
        <v>0</v>
      </c>
      <c r="Y780">
        <f>AND(IF(metadata!E780="",FALSE,TRUE),exact(metadata!E780,"urban biome"))</f>
        <v>0</v>
      </c>
      <c r="Z780">
        <f>AND(IF(metadata!F780="",FALSE,TRUE),exact(metadata!F780,"animal-associated habitat"))</f>
        <v>0</v>
      </c>
      <c r="AA780">
        <f>AND(IF(metadata!G780="",FALSE,TRUE),exact(metadata!G780,"mouse"))</f>
        <v>0</v>
      </c>
      <c r="AB780">
        <f>AND(IF(metadata!H780="",FALSE,TRUE),exact(metadata!H780,"Mus musculus"))</f>
        <v>0</v>
      </c>
      <c r="AC780">
        <f>AND(IF(metadata!I780="",FALSE,TRUE),exact(metadata!I780,"10090"))</f>
        <v>0</v>
      </c>
      <c r="AD780">
        <f>OR(AND(IF(metadata!J780="",FALSE,TRUE),OR(exact(metadata!J780,"not applicable"),exact(metadata!J780,"missing: not collected"),exact(metadata!J780,"missing: not provided"),exact(metadata!J780,"missing: restricted access"))),AND(IF(metadata!J780="",FALSE,ISNUMBER(VALUE(metadata!J780))),metadata!J780&gt;0))</f>
        <v>0</v>
      </c>
      <c r="AE780">
        <f>AND(IF(metadata!K780="",FALSE,TRUE),exact(metadata!K780,"g"))</f>
        <v>0</v>
      </c>
    </row>
    <row r="781" spans="1:31">
      <c r="A781" s="5">
        <f>IF(B781=" "," ",HYPERLINK(CONCATENATE("#metadata!",ADDRESS(INDEX($Q$2:$Q$1001,MATCH(ROWS($O$2:O781),$O$2:$O$1001,0),0),1)),INDEX($T$2:$T$1001,MATCH(ROWS($O$2:O781),$O$2:$O$1001,0),0)))</f>
        <v>0</v>
      </c>
      <c r="B781" s="4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4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4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4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4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4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4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4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4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4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OR(AND(IF(metadata!C781="",FALSE,TRUE),OR(exact(metadata!C781,"not applicable"),exact(metadata!C781,"missing: not collected"),exact(metadata!C781,"missing: not provided"),exact(metadata!C781,"missing: restricted access"))),AND(IF(metadata!C781="",FALSE,ISNUMBER(VALUE(metadata!C781))),metadata!C781&gt;0))</f>
        <v>0</v>
      </c>
      <c r="X781">
        <f>AND(IF(metadata!D781="",FALSE,TRUE),exact(metadata!D781,"weeks"))</f>
        <v>0</v>
      </c>
      <c r="Y781">
        <f>AND(IF(metadata!E781="",FALSE,TRUE),exact(metadata!E781,"urban biome"))</f>
        <v>0</v>
      </c>
      <c r="Z781">
        <f>AND(IF(metadata!F781="",FALSE,TRUE),exact(metadata!F781,"animal-associated habitat"))</f>
        <v>0</v>
      </c>
      <c r="AA781">
        <f>AND(IF(metadata!G781="",FALSE,TRUE),exact(metadata!G781,"mouse"))</f>
        <v>0</v>
      </c>
      <c r="AB781">
        <f>AND(IF(metadata!H781="",FALSE,TRUE),exact(metadata!H781,"Mus musculus"))</f>
        <v>0</v>
      </c>
      <c r="AC781">
        <f>AND(IF(metadata!I781="",FALSE,TRUE),exact(metadata!I781,"10090"))</f>
        <v>0</v>
      </c>
      <c r="AD781">
        <f>OR(AND(IF(metadata!J781="",FALSE,TRUE),OR(exact(metadata!J781,"not applicable"),exact(metadata!J781,"missing: not collected"),exact(metadata!J781,"missing: not provided"),exact(metadata!J781,"missing: restricted access"))),AND(IF(metadata!J781="",FALSE,ISNUMBER(VALUE(metadata!J781))),metadata!J781&gt;0))</f>
        <v>0</v>
      </c>
      <c r="AE781">
        <f>AND(IF(metadata!K781="",FALSE,TRUE),exact(metadata!K781,"g"))</f>
        <v>0</v>
      </c>
    </row>
    <row r="782" spans="1:31">
      <c r="A782" s="5">
        <f>IF(B782=" "," ",HYPERLINK(CONCATENATE("#metadata!",ADDRESS(INDEX($Q$2:$Q$1001,MATCH(ROWS($O$2:O782),$O$2:$O$1001,0),0),1)),INDEX($T$2:$T$1001,MATCH(ROWS($O$2:O782),$O$2:$O$1001,0),0)))</f>
        <v>0</v>
      </c>
      <c r="B782" s="4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4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4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4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4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4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4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4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4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4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OR(AND(IF(metadata!C782="",FALSE,TRUE),OR(exact(metadata!C782,"not applicable"),exact(metadata!C782,"missing: not collected"),exact(metadata!C782,"missing: not provided"),exact(metadata!C782,"missing: restricted access"))),AND(IF(metadata!C782="",FALSE,ISNUMBER(VALUE(metadata!C782))),metadata!C782&gt;0))</f>
        <v>0</v>
      </c>
      <c r="X782">
        <f>AND(IF(metadata!D782="",FALSE,TRUE),exact(metadata!D782,"weeks"))</f>
        <v>0</v>
      </c>
      <c r="Y782">
        <f>AND(IF(metadata!E782="",FALSE,TRUE),exact(metadata!E782,"urban biome"))</f>
        <v>0</v>
      </c>
      <c r="Z782">
        <f>AND(IF(metadata!F782="",FALSE,TRUE),exact(metadata!F782,"animal-associated habitat"))</f>
        <v>0</v>
      </c>
      <c r="AA782">
        <f>AND(IF(metadata!G782="",FALSE,TRUE),exact(metadata!G782,"mouse"))</f>
        <v>0</v>
      </c>
      <c r="AB782">
        <f>AND(IF(metadata!H782="",FALSE,TRUE),exact(metadata!H782,"Mus musculus"))</f>
        <v>0</v>
      </c>
      <c r="AC782">
        <f>AND(IF(metadata!I782="",FALSE,TRUE),exact(metadata!I782,"10090"))</f>
        <v>0</v>
      </c>
      <c r="AD782">
        <f>OR(AND(IF(metadata!J782="",FALSE,TRUE),OR(exact(metadata!J782,"not applicable"),exact(metadata!J782,"missing: not collected"),exact(metadata!J782,"missing: not provided"),exact(metadata!J782,"missing: restricted access"))),AND(IF(metadata!J782="",FALSE,ISNUMBER(VALUE(metadata!J782))),metadata!J782&gt;0))</f>
        <v>0</v>
      </c>
      <c r="AE782">
        <f>AND(IF(metadata!K782="",FALSE,TRUE),exact(metadata!K782,"g"))</f>
        <v>0</v>
      </c>
    </row>
    <row r="783" spans="1:31">
      <c r="A783" s="5">
        <f>IF(B783=" "," ",HYPERLINK(CONCATENATE("#metadata!",ADDRESS(INDEX($Q$2:$Q$1001,MATCH(ROWS($O$2:O783),$O$2:$O$1001,0),0),1)),INDEX($T$2:$T$1001,MATCH(ROWS($O$2:O783),$O$2:$O$1001,0),0)))</f>
        <v>0</v>
      </c>
      <c r="B783" s="4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4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4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4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4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4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4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4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4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4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OR(AND(IF(metadata!C783="",FALSE,TRUE),OR(exact(metadata!C783,"not applicable"),exact(metadata!C783,"missing: not collected"),exact(metadata!C783,"missing: not provided"),exact(metadata!C783,"missing: restricted access"))),AND(IF(metadata!C783="",FALSE,ISNUMBER(VALUE(metadata!C783))),metadata!C783&gt;0))</f>
        <v>0</v>
      </c>
      <c r="X783">
        <f>AND(IF(metadata!D783="",FALSE,TRUE),exact(metadata!D783,"weeks"))</f>
        <v>0</v>
      </c>
      <c r="Y783">
        <f>AND(IF(metadata!E783="",FALSE,TRUE),exact(metadata!E783,"urban biome"))</f>
        <v>0</v>
      </c>
      <c r="Z783">
        <f>AND(IF(metadata!F783="",FALSE,TRUE),exact(metadata!F783,"animal-associated habitat"))</f>
        <v>0</v>
      </c>
      <c r="AA783">
        <f>AND(IF(metadata!G783="",FALSE,TRUE),exact(metadata!G783,"mouse"))</f>
        <v>0</v>
      </c>
      <c r="AB783">
        <f>AND(IF(metadata!H783="",FALSE,TRUE),exact(metadata!H783,"Mus musculus"))</f>
        <v>0</v>
      </c>
      <c r="AC783">
        <f>AND(IF(metadata!I783="",FALSE,TRUE),exact(metadata!I783,"10090"))</f>
        <v>0</v>
      </c>
      <c r="AD783">
        <f>OR(AND(IF(metadata!J783="",FALSE,TRUE),OR(exact(metadata!J783,"not applicable"),exact(metadata!J783,"missing: not collected"),exact(metadata!J783,"missing: not provided"),exact(metadata!J783,"missing: restricted access"))),AND(IF(metadata!J783="",FALSE,ISNUMBER(VALUE(metadata!J783))),metadata!J783&gt;0))</f>
        <v>0</v>
      </c>
      <c r="AE783">
        <f>AND(IF(metadata!K783="",FALSE,TRUE),exact(metadata!K783,"g"))</f>
        <v>0</v>
      </c>
    </row>
    <row r="784" spans="1:31">
      <c r="A784" s="5">
        <f>IF(B784=" "," ",HYPERLINK(CONCATENATE("#metadata!",ADDRESS(INDEX($Q$2:$Q$1001,MATCH(ROWS($O$2:O784),$O$2:$O$1001,0),0),1)),INDEX($T$2:$T$1001,MATCH(ROWS($O$2:O784),$O$2:$O$1001,0),0)))</f>
        <v>0</v>
      </c>
      <c r="B784" s="4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4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4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4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4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4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4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4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4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4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OR(AND(IF(metadata!C784="",FALSE,TRUE),OR(exact(metadata!C784,"not applicable"),exact(metadata!C784,"missing: not collected"),exact(metadata!C784,"missing: not provided"),exact(metadata!C784,"missing: restricted access"))),AND(IF(metadata!C784="",FALSE,ISNUMBER(VALUE(metadata!C784))),metadata!C784&gt;0))</f>
        <v>0</v>
      </c>
      <c r="X784">
        <f>AND(IF(metadata!D784="",FALSE,TRUE),exact(metadata!D784,"weeks"))</f>
        <v>0</v>
      </c>
      <c r="Y784">
        <f>AND(IF(metadata!E784="",FALSE,TRUE),exact(metadata!E784,"urban biome"))</f>
        <v>0</v>
      </c>
      <c r="Z784">
        <f>AND(IF(metadata!F784="",FALSE,TRUE),exact(metadata!F784,"animal-associated habitat"))</f>
        <v>0</v>
      </c>
      <c r="AA784">
        <f>AND(IF(metadata!G784="",FALSE,TRUE),exact(metadata!G784,"mouse"))</f>
        <v>0</v>
      </c>
      <c r="AB784">
        <f>AND(IF(metadata!H784="",FALSE,TRUE),exact(metadata!H784,"Mus musculus"))</f>
        <v>0</v>
      </c>
      <c r="AC784">
        <f>AND(IF(metadata!I784="",FALSE,TRUE),exact(metadata!I784,"10090"))</f>
        <v>0</v>
      </c>
      <c r="AD784">
        <f>OR(AND(IF(metadata!J784="",FALSE,TRUE),OR(exact(metadata!J784,"not applicable"),exact(metadata!J784,"missing: not collected"),exact(metadata!J784,"missing: not provided"),exact(metadata!J784,"missing: restricted access"))),AND(IF(metadata!J784="",FALSE,ISNUMBER(VALUE(metadata!J784))),metadata!J784&gt;0))</f>
        <v>0</v>
      </c>
      <c r="AE784">
        <f>AND(IF(metadata!K784="",FALSE,TRUE),exact(metadata!K784,"g"))</f>
        <v>0</v>
      </c>
    </row>
    <row r="785" spans="1:31">
      <c r="A785" s="5">
        <f>IF(B785=" "," ",HYPERLINK(CONCATENATE("#metadata!",ADDRESS(INDEX($Q$2:$Q$1001,MATCH(ROWS($O$2:O785),$O$2:$O$1001,0),0),1)),INDEX($T$2:$T$1001,MATCH(ROWS($O$2:O785),$O$2:$O$1001,0),0)))</f>
        <v>0</v>
      </c>
      <c r="B785" s="4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4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4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4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4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4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4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4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4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4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OR(AND(IF(metadata!C785="",FALSE,TRUE),OR(exact(metadata!C785,"not applicable"),exact(metadata!C785,"missing: not collected"),exact(metadata!C785,"missing: not provided"),exact(metadata!C785,"missing: restricted access"))),AND(IF(metadata!C785="",FALSE,ISNUMBER(VALUE(metadata!C785))),metadata!C785&gt;0))</f>
        <v>0</v>
      </c>
      <c r="X785">
        <f>AND(IF(metadata!D785="",FALSE,TRUE),exact(metadata!D785,"weeks"))</f>
        <v>0</v>
      </c>
      <c r="Y785">
        <f>AND(IF(metadata!E785="",FALSE,TRUE),exact(metadata!E785,"urban biome"))</f>
        <v>0</v>
      </c>
      <c r="Z785">
        <f>AND(IF(metadata!F785="",FALSE,TRUE),exact(metadata!F785,"animal-associated habitat"))</f>
        <v>0</v>
      </c>
      <c r="AA785">
        <f>AND(IF(metadata!G785="",FALSE,TRUE),exact(metadata!G785,"mouse"))</f>
        <v>0</v>
      </c>
      <c r="AB785">
        <f>AND(IF(metadata!H785="",FALSE,TRUE),exact(metadata!H785,"Mus musculus"))</f>
        <v>0</v>
      </c>
      <c r="AC785">
        <f>AND(IF(metadata!I785="",FALSE,TRUE),exact(metadata!I785,"10090"))</f>
        <v>0</v>
      </c>
      <c r="AD785">
        <f>OR(AND(IF(metadata!J785="",FALSE,TRUE),OR(exact(metadata!J785,"not applicable"),exact(metadata!J785,"missing: not collected"),exact(metadata!J785,"missing: not provided"),exact(metadata!J785,"missing: restricted access"))),AND(IF(metadata!J785="",FALSE,ISNUMBER(VALUE(metadata!J785))),metadata!J785&gt;0))</f>
        <v>0</v>
      </c>
      <c r="AE785">
        <f>AND(IF(metadata!K785="",FALSE,TRUE),exact(metadata!K785,"g"))</f>
        <v>0</v>
      </c>
    </row>
    <row r="786" spans="1:31">
      <c r="A786" s="5">
        <f>IF(B786=" "," ",HYPERLINK(CONCATENATE("#metadata!",ADDRESS(INDEX($Q$2:$Q$1001,MATCH(ROWS($O$2:O786),$O$2:$O$1001,0),0),1)),INDEX($T$2:$T$1001,MATCH(ROWS($O$2:O786),$O$2:$O$1001,0),0)))</f>
        <v>0</v>
      </c>
      <c r="B786" s="4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4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4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4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4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4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4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4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4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4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OR(AND(IF(metadata!C786="",FALSE,TRUE),OR(exact(metadata!C786,"not applicable"),exact(metadata!C786,"missing: not collected"),exact(metadata!C786,"missing: not provided"),exact(metadata!C786,"missing: restricted access"))),AND(IF(metadata!C786="",FALSE,ISNUMBER(VALUE(metadata!C786))),metadata!C786&gt;0))</f>
        <v>0</v>
      </c>
      <c r="X786">
        <f>AND(IF(metadata!D786="",FALSE,TRUE),exact(metadata!D786,"weeks"))</f>
        <v>0</v>
      </c>
      <c r="Y786">
        <f>AND(IF(metadata!E786="",FALSE,TRUE),exact(metadata!E786,"urban biome"))</f>
        <v>0</v>
      </c>
      <c r="Z786">
        <f>AND(IF(metadata!F786="",FALSE,TRUE),exact(metadata!F786,"animal-associated habitat"))</f>
        <v>0</v>
      </c>
      <c r="AA786">
        <f>AND(IF(metadata!G786="",FALSE,TRUE),exact(metadata!G786,"mouse"))</f>
        <v>0</v>
      </c>
      <c r="AB786">
        <f>AND(IF(metadata!H786="",FALSE,TRUE),exact(metadata!H786,"Mus musculus"))</f>
        <v>0</v>
      </c>
      <c r="AC786">
        <f>AND(IF(metadata!I786="",FALSE,TRUE),exact(metadata!I786,"10090"))</f>
        <v>0</v>
      </c>
      <c r="AD786">
        <f>OR(AND(IF(metadata!J786="",FALSE,TRUE),OR(exact(metadata!J786,"not applicable"),exact(metadata!J786,"missing: not collected"),exact(metadata!J786,"missing: not provided"),exact(metadata!J786,"missing: restricted access"))),AND(IF(metadata!J786="",FALSE,ISNUMBER(VALUE(metadata!J786))),metadata!J786&gt;0))</f>
        <v>0</v>
      </c>
      <c r="AE786">
        <f>AND(IF(metadata!K786="",FALSE,TRUE),exact(metadata!K786,"g"))</f>
        <v>0</v>
      </c>
    </row>
    <row r="787" spans="1:31">
      <c r="A787" s="5">
        <f>IF(B787=" "," ",HYPERLINK(CONCATENATE("#metadata!",ADDRESS(INDEX($Q$2:$Q$1001,MATCH(ROWS($O$2:O787),$O$2:$O$1001,0),0),1)),INDEX($T$2:$T$1001,MATCH(ROWS($O$2:O787),$O$2:$O$1001,0),0)))</f>
        <v>0</v>
      </c>
      <c r="B787" s="4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4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4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4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4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4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4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4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4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4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OR(AND(IF(metadata!C787="",FALSE,TRUE),OR(exact(metadata!C787,"not applicable"),exact(metadata!C787,"missing: not collected"),exact(metadata!C787,"missing: not provided"),exact(metadata!C787,"missing: restricted access"))),AND(IF(metadata!C787="",FALSE,ISNUMBER(VALUE(metadata!C787))),metadata!C787&gt;0))</f>
        <v>0</v>
      </c>
      <c r="X787">
        <f>AND(IF(metadata!D787="",FALSE,TRUE),exact(metadata!D787,"weeks"))</f>
        <v>0</v>
      </c>
      <c r="Y787">
        <f>AND(IF(metadata!E787="",FALSE,TRUE),exact(metadata!E787,"urban biome"))</f>
        <v>0</v>
      </c>
      <c r="Z787">
        <f>AND(IF(metadata!F787="",FALSE,TRUE),exact(metadata!F787,"animal-associated habitat"))</f>
        <v>0</v>
      </c>
      <c r="AA787">
        <f>AND(IF(metadata!G787="",FALSE,TRUE),exact(metadata!G787,"mouse"))</f>
        <v>0</v>
      </c>
      <c r="AB787">
        <f>AND(IF(metadata!H787="",FALSE,TRUE),exact(metadata!H787,"Mus musculus"))</f>
        <v>0</v>
      </c>
      <c r="AC787">
        <f>AND(IF(metadata!I787="",FALSE,TRUE),exact(metadata!I787,"10090"))</f>
        <v>0</v>
      </c>
      <c r="AD787">
        <f>OR(AND(IF(metadata!J787="",FALSE,TRUE),OR(exact(metadata!J787,"not applicable"),exact(metadata!J787,"missing: not collected"),exact(metadata!J787,"missing: not provided"),exact(metadata!J787,"missing: restricted access"))),AND(IF(metadata!J787="",FALSE,ISNUMBER(VALUE(metadata!J787))),metadata!J787&gt;0))</f>
        <v>0</v>
      </c>
      <c r="AE787">
        <f>AND(IF(metadata!K787="",FALSE,TRUE),exact(metadata!K787,"g"))</f>
        <v>0</v>
      </c>
    </row>
    <row r="788" spans="1:31">
      <c r="A788" s="5">
        <f>IF(B788=" "," ",HYPERLINK(CONCATENATE("#metadata!",ADDRESS(INDEX($Q$2:$Q$1001,MATCH(ROWS($O$2:O788),$O$2:$O$1001,0),0),1)),INDEX($T$2:$T$1001,MATCH(ROWS($O$2:O788),$O$2:$O$1001,0),0)))</f>
        <v>0</v>
      </c>
      <c r="B788" s="4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4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4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4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4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4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4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4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4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4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OR(AND(IF(metadata!C788="",FALSE,TRUE),OR(exact(metadata!C788,"not applicable"),exact(metadata!C788,"missing: not collected"),exact(metadata!C788,"missing: not provided"),exact(metadata!C788,"missing: restricted access"))),AND(IF(metadata!C788="",FALSE,ISNUMBER(VALUE(metadata!C788))),metadata!C788&gt;0))</f>
        <v>0</v>
      </c>
      <c r="X788">
        <f>AND(IF(metadata!D788="",FALSE,TRUE),exact(metadata!D788,"weeks"))</f>
        <v>0</v>
      </c>
      <c r="Y788">
        <f>AND(IF(metadata!E788="",FALSE,TRUE),exact(metadata!E788,"urban biome"))</f>
        <v>0</v>
      </c>
      <c r="Z788">
        <f>AND(IF(metadata!F788="",FALSE,TRUE),exact(metadata!F788,"animal-associated habitat"))</f>
        <v>0</v>
      </c>
      <c r="AA788">
        <f>AND(IF(metadata!G788="",FALSE,TRUE),exact(metadata!G788,"mouse"))</f>
        <v>0</v>
      </c>
      <c r="AB788">
        <f>AND(IF(metadata!H788="",FALSE,TRUE),exact(metadata!H788,"Mus musculus"))</f>
        <v>0</v>
      </c>
      <c r="AC788">
        <f>AND(IF(metadata!I788="",FALSE,TRUE),exact(metadata!I788,"10090"))</f>
        <v>0</v>
      </c>
      <c r="AD788">
        <f>OR(AND(IF(metadata!J788="",FALSE,TRUE),OR(exact(metadata!J788,"not applicable"),exact(metadata!J788,"missing: not collected"),exact(metadata!J788,"missing: not provided"),exact(metadata!J788,"missing: restricted access"))),AND(IF(metadata!J788="",FALSE,ISNUMBER(VALUE(metadata!J788))),metadata!J788&gt;0))</f>
        <v>0</v>
      </c>
      <c r="AE788">
        <f>AND(IF(metadata!K788="",FALSE,TRUE),exact(metadata!K788,"g"))</f>
        <v>0</v>
      </c>
    </row>
    <row r="789" spans="1:31">
      <c r="A789" s="5">
        <f>IF(B789=" "," ",HYPERLINK(CONCATENATE("#metadata!",ADDRESS(INDEX($Q$2:$Q$1001,MATCH(ROWS($O$2:O789),$O$2:$O$1001,0),0),1)),INDEX($T$2:$T$1001,MATCH(ROWS($O$2:O789),$O$2:$O$1001,0),0)))</f>
        <v>0</v>
      </c>
      <c r="B789" s="4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4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4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4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4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4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4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4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4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4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OR(AND(IF(metadata!C789="",FALSE,TRUE),OR(exact(metadata!C789,"not applicable"),exact(metadata!C789,"missing: not collected"),exact(metadata!C789,"missing: not provided"),exact(metadata!C789,"missing: restricted access"))),AND(IF(metadata!C789="",FALSE,ISNUMBER(VALUE(metadata!C789))),metadata!C789&gt;0))</f>
        <v>0</v>
      </c>
      <c r="X789">
        <f>AND(IF(metadata!D789="",FALSE,TRUE),exact(metadata!D789,"weeks"))</f>
        <v>0</v>
      </c>
      <c r="Y789">
        <f>AND(IF(metadata!E789="",FALSE,TRUE),exact(metadata!E789,"urban biome"))</f>
        <v>0</v>
      </c>
      <c r="Z789">
        <f>AND(IF(metadata!F789="",FALSE,TRUE),exact(metadata!F789,"animal-associated habitat"))</f>
        <v>0</v>
      </c>
      <c r="AA789">
        <f>AND(IF(metadata!G789="",FALSE,TRUE),exact(metadata!G789,"mouse"))</f>
        <v>0</v>
      </c>
      <c r="AB789">
        <f>AND(IF(metadata!H789="",FALSE,TRUE),exact(metadata!H789,"Mus musculus"))</f>
        <v>0</v>
      </c>
      <c r="AC789">
        <f>AND(IF(metadata!I789="",FALSE,TRUE),exact(metadata!I789,"10090"))</f>
        <v>0</v>
      </c>
      <c r="AD789">
        <f>OR(AND(IF(metadata!J789="",FALSE,TRUE),OR(exact(metadata!J789,"not applicable"),exact(metadata!J789,"missing: not collected"),exact(metadata!J789,"missing: not provided"),exact(metadata!J789,"missing: restricted access"))),AND(IF(metadata!J789="",FALSE,ISNUMBER(VALUE(metadata!J789))),metadata!J789&gt;0))</f>
        <v>0</v>
      </c>
      <c r="AE789">
        <f>AND(IF(metadata!K789="",FALSE,TRUE),exact(metadata!K789,"g"))</f>
        <v>0</v>
      </c>
    </row>
    <row r="790" spans="1:31">
      <c r="A790" s="5">
        <f>IF(B790=" "," ",HYPERLINK(CONCATENATE("#metadata!",ADDRESS(INDEX($Q$2:$Q$1001,MATCH(ROWS($O$2:O790),$O$2:$O$1001,0),0),1)),INDEX($T$2:$T$1001,MATCH(ROWS($O$2:O790),$O$2:$O$1001,0),0)))</f>
        <v>0</v>
      </c>
      <c r="B790" s="4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4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4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4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4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4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4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4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4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4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OR(AND(IF(metadata!C790="",FALSE,TRUE),OR(exact(metadata!C790,"not applicable"),exact(metadata!C790,"missing: not collected"),exact(metadata!C790,"missing: not provided"),exact(metadata!C790,"missing: restricted access"))),AND(IF(metadata!C790="",FALSE,ISNUMBER(VALUE(metadata!C790))),metadata!C790&gt;0))</f>
        <v>0</v>
      </c>
      <c r="X790">
        <f>AND(IF(metadata!D790="",FALSE,TRUE),exact(metadata!D790,"weeks"))</f>
        <v>0</v>
      </c>
      <c r="Y790">
        <f>AND(IF(metadata!E790="",FALSE,TRUE),exact(metadata!E790,"urban biome"))</f>
        <v>0</v>
      </c>
      <c r="Z790">
        <f>AND(IF(metadata!F790="",FALSE,TRUE),exact(metadata!F790,"animal-associated habitat"))</f>
        <v>0</v>
      </c>
      <c r="AA790">
        <f>AND(IF(metadata!G790="",FALSE,TRUE),exact(metadata!G790,"mouse"))</f>
        <v>0</v>
      </c>
      <c r="AB790">
        <f>AND(IF(metadata!H790="",FALSE,TRUE),exact(metadata!H790,"Mus musculus"))</f>
        <v>0</v>
      </c>
      <c r="AC790">
        <f>AND(IF(metadata!I790="",FALSE,TRUE),exact(metadata!I790,"10090"))</f>
        <v>0</v>
      </c>
      <c r="AD790">
        <f>OR(AND(IF(metadata!J790="",FALSE,TRUE),OR(exact(metadata!J790,"not applicable"),exact(metadata!J790,"missing: not collected"),exact(metadata!J790,"missing: not provided"),exact(metadata!J790,"missing: restricted access"))),AND(IF(metadata!J790="",FALSE,ISNUMBER(VALUE(metadata!J790))),metadata!J790&gt;0))</f>
        <v>0</v>
      </c>
      <c r="AE790">
        <f>AND(IF(metadata!K790="",FALSE,TRUE),exact(metadata!K790,"g"))</f>
        <v>0</v>
      </c>
    </row>
    <row r="791" spans="1:31">
      <c r="A791" s="5">
        <f>IF(B791=" "," ",HYPERLINK(CONCATENATE("#metadata!",ADDRESS(INDEX($Q$2:$Q$1001,MATCH(ROWS($O$2:O791),$O$2:$O$1001,0),0),1)),INDEX($T$2:$T$1001,MATCH(ROWS($O$2:O791),$O$2:$O$1001,0),0)))</f>
        <v>0</v>
      </c>
      <c r="B791" s="4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4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4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4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4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4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4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4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4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4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OR(AND(IF(metadata!C791="",FALSE,TRUE),OR(exact(metadata!C791,"not applicable"),exact(metadata!C791,"missing: not collected"),exact(metadata!C791,"missing: not provided"),exact(metadata!C791,"missing: restricted access"))),AND(IF(metadata!C791="",FALSE,ISNUMBER(VALUE(metadata!C791))),metadata!C791&gt;0))</f>
        <v>0</v>
      </c>
      <c r="X791">
        <f>AND(IF(metadata!D791="",FALSE,TRUE),exact(metadata!D791,"weeks"))</f>
        <v>0</v>
      </c>
      <c r="Y791">
        <f>AND(IF(metadata!E791="",FALSE,TRUE),exact(metadata!E791,"urban biome"))</f>
        <v>0</v>
      </c>
      <c r="Z791">
        <f>AND(IF(metadata!F791="",FALSE,TRUE),exact(metadata!F791,"animal-associated habitat"))</f>
        <v>0</v>
      </c>
      <c r="AA791">
        <f>AND(IF(metadata!G791="",FALSE,TRUE),exact(metadata!G791,"mouse"))</f>
        <v>0</v>
      </c>
      <c r="AB791">
        <f>AND(IF(metadata!H791="",FALSE,TRUE),exact(metadata!H791,"Mus musculus"))</f>
        <v>0</v>
      </c>
      <c r="AC791">
        <f>AND(IF(metadata!I791="",FALSE,TRUE),exact(metadata!I791,"10090"))</f>
        <v>0</v>
      </c>
      <c r="AD791">
        <f>OR(AND(IF(metadata!J791="",FALSE,TRUE),OR(exact(metadata!J791,"not applicable"),exact(metadata!J791,"missing: not collected"),exact(metadata!J791,"missing: not provided"),exact(metadata!J791,"missing: restricted access"))),AND(IF(metadata!J791="",FALSE,ISNUMBER(VALUE(metadata!J791))),metadata!J791&gt;0))</f>
        <v>0</v>
      </c>
      <c r="AE791">
        <f>AND(IF(metadata!K791="",FALSE,TRUE),exact(metadata!K791,"g"))</f>
        <v>0</v>
      </c>
    </row>
    <row r="792" spans="1:31">
      <c r="A792" s="5">
        <f>IF(B792=" "," ",HYPERLINK(CONCATENATE("#metadata!",ADDRESS(INDEX($Q$2:$Q$1001,MATCH(ROWS($O$2:O792),$O$2:$O$1001,0),0),1)),INDEX($T$2:$T$1001,MATCH(ROWS($O$2:O792),$O$2:$O$1001,0),0)))</f>
        <v>0</v>
      </c>
      <c r="B792" s="4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4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4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4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4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4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4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4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4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4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OR(AND(IF(metadata!C792="",FALSE,TRUE),OR(exact(metadata!C792,"not applicable"),exact(metadata!C792,"missing: not collected"),exact(metadata!C792,"missing: not provided"),exact(metadata!C792,"missing: restricted access"))),AND(IF(metadata!C792="",FALSE,ISNUMBER(VALUE(metadata!C792))),metadata!C792&gt;0))</f>
        <v>0</v>
      </c>
      <c r="X792">
        <f>AND(IF(metadata!D792="",FALSE,TRUE),exact(metadata!D792,"weeks"))</f>
        <v>0</v>
      </c>
      <c r="Y792">
        <f>AND(IF(metadata!E792="",FALSE,TRUE),exact(metadata!E792,"urban biome"))</f>
        <v>0</v>
      </c>
      <c r="Z792">
        <f>AND(IF(metadata!F792="",FALSE,TRUE),exact(metadata!F792,"animal-associated habitat"))</f>
        <v>0</v>
      </c>
      <c r="AA792">
        <f>AND(IF(metadata!G792="",FALSE,TRUE),exact(metadata!G792,"mouse"))</f>
        <v>0</v>
      </c>
      <c r="AB792">
        <f>AND(IF(metadata!H792="",FALSE,TRUE),exact(metadata!H792,"Mus musculus"))</f>
        <v>0</v>
      </c>
      <c r="AC792">
        <f>AND(IF(metadata!I792="",FALSE,TRUE),exact(metadata!I792,"10090"))</f>
        <v>0</v>
      </c>
      <c r="AD792">
        <f>OR(AND(IF(metadata!J792="",FALSE,TRUE),OR(exact(metadata!J792,"not applicable"),exact(metadata!J792,"missing: not collected"),exact(metadata!J792,"missing: not provided"),exact(metadata!J792,"missing: restricted access"))),AND(IF(metadata!J792="",FALSE,ISNUMBER(VALUE(metadata!J792))),metadata!J792&gt;0))</f>
        <v>0</v>
      </c>
      <c r="AE792">
        <f>AND(IF(metadata!K792="",FALSE,TRUE),exact(metadata!K792,"g"))</f>
        <v>0</v>
      </c>
    </row>
    <row r="793" spans="1:31">
      <c r="A793" s="5">
        <f>IF(B793=" "," ",HYPERLINK(CONCATENATE("#metadata!",ADDRESS(INDEX($Q$2:$Q$1001,MATCH(ROWS($O$2:O793),$O$2:$O$1001,0),0),1)),INDEX($T$2:$T$1001,MATCH(ROWS($O$2:O793),$O$2:$O$1001,0),0)))</f>
        <v>0</v>
      </c>
      <c r="B793" s="4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4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4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4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4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4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4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4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4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4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OR(AND(IF(metadata!C793="",FALSE,TRUE),OR(exact(metadata!C793,"not applicable"),exact(metadata!C793,"missing: not collected"),exact(metadata!C793,"missing: not provided"),exact(metadata!C793,"missing: restricted access"))),AND(IF(metadata!C793="",FALSE,ISNUMBER(VALUE(metadata!C793))),metadata!C793&gt;0))</f>
        <v>0</v>
      </c>
      <c r="X793">
        <f>AND(IF(metadata!D793="",FALSE,TRUE),exact(metadata!D793,"weeks"))</f>
        <v>0</v>
      </c>
      <c r="Y793">
        <f>AND(IF(metadata!E793="",FALSE,TRUE),exact(metadata!E793,"urban biome"))</f>
        <v>0</v>
      </c>
      <c r="Z793">
        <f>AND(IF(metadata!F793="",FALSE,TRUE),exact(metadata!F793,"animal-associated habitat"))</f>
        <v>0</v>
      </c>
      <c r="AA793">
        <f>AND(IF(metadata!G793="",FALSE,TRUE),exact(metadata!G793,"mouse"))</f>
        <v>0</v>
      </c>
      <c r="AB793">
        <f>AND(IF(metadata!H793="",FALSE,TRUE),exact(metadata!H793,"Mus musculus"))</f>
        <v>0</v>
      </c>
      <c r="AC793">
        <f>AND(IF(metadata!I793="",FALSE,TRUE),exact(metadata!I793,"10090"))</f>
        <v>0</v>
      </c>
      <c r="AD793">
        <f>OR(AND(IF(metadata!J793="",FALSE,TRUE),OR(exact(metadata!J793,"not applicable"),exact(metadata!J793,"missing: not collected"),exact(metadata!J793,"missing: not provided"),exact(metadata!J793,"missing: restricted access"))),AND(IF(metadata!J793="",FALSE,ISNUMBER(VALUE(metadata!J793))),metadata!J793&gt;0))</f>
        <v>0</v>
      </c>
      <c r="AE793">
        <f>AND(IF(metadata!K793="",FALSE,TRUE),exact(metadata!K793,"g"))</f>
        <v>0</v>
      </c>
    </row>
    <row r="794" spans="1:31">
      <c r="A794" s="5">
        <f>IF(B794=" "," ",HYPERLINK(CONCATENATE("#metadata!",ADDRESS(INDEX($Q$2:$Q$1001,MATCH(ROWS($O$2:O794),$O$2:$O$1001,0),0),1)),INDEX($T$2:$T$1001,MATCH(ROWS($O$2:O794),$O$2:$O$1001,0),0)))</f>
        <v>0</v>
      </c>
      <c r="B794" s="4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4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4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4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4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4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4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4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4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4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OR(AND(IF(metadata!C794="",FALSE,TRUE),OR(exact(metadata!C794,"not applicable"),exact(metadata!C794,"missing: not collected"),exact(metadata!C794,"missing: not provided"),exact(metadata!C794,"missing: restricted access"))),AND(IF(metadata!C794="",FALSE,ISNUMBER(VALUE(metadata!C794))),metadata!C794&gt;0))</f>
        <v>0</v>
      </c>
      <c r="X794">
        <f>AND(IF(metadata!D794="",FALSE,TRUE),exact(metadata!D794,"weeks"))</f>
        <v>0</v>
      </c>
      <c r="Y794">
        <f>AND(IF(metadata!E794="",FALSE,TRUE),exact(metadata!E794,"urban biome"))</f>
        <v>0</v>
      </c>
      <c r="Z794">
        <f>AND(IF(metadata!F794="",FALSE,TRUE),exact(metadata!F794,"animal-associated habitat"))</f>
        <v>0</v>
      </c>
      <c r="AA794">
        <f>AND(IF(metadata!G794="",FALSE,TRUE),exact(metadata!G794,"mouse"))</f>
        <v>0</v>
      </c>
      <c r="AB794">
        <f>AND(IF(metadata!H794="",FALSE,TRUE),exact(metadata!H794,"Mus musculus"))</f>
        <v>0</v>
      </c>
      <c r="AC794">
        <f>AND(IF(metadata!I794="",FALSE,TRUE),exact(metadata!I794,"10090"))</f>
        <v>0</v>
      </c>
      <c r="AD794">
        <f>OR(AND(IF(metadata!J794="",FALSE,TRUE),OR(exact(metadata!J794,"not applicable"),exact(metadata!J794,"missing: not collected"),exact(metadata!J794,"missing: not provided"),exact(metadata!J794,"missing: restricted access"))),AND(IF(metadata!J794="",FALSE,ISNUMBER(VALUE(metadata!J794))),metadata!J794&gt;0))</f>
        <v>0</v>
      </c>
      <c r="AE794">
        <f>AND(IF(metadata!K794="",FALSE,TRUE),exact(metadata!K794,"g"))</f>
        <v>0</v>
      </c>
    </row>
    <row r="795" spans="1:31">
      <c r="A795" s="5">
        <f>IF(B795=" "," ",HYPERLINK(CONCATENATE("#metadata!",ADDRESS(INDEX($Q$2:$Q$1001,MATCH(ROWS($O$2:O795),$O$2:$O$1001,0),0),1)),INDEX($T$2:$T$1001,MATCH(ROWS($O$2:O795),$O$2:$O$1001,0),0)))</f>
        <v>0</v>
      </c>
      <c r="B795" s="4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4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4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4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4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4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4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4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4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4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OR(AND(IF(metadata!C795="",FALSE,TRUE),OR(exact(metadata!C795,"not applicable"),exact(metadata!C795,"missing: not collected"),exact(metadata!C795,"missing: not provided"),exact(metadata!C795,"missing: restricted access"))),AND(IF(metadata!C795="",FALSE,ISNUMBER(VALUE(metadata!C795))),metadata!C795&gt;0))</f>
        <v>0</v>
      </c>
      <c r="X795">
        <f>AND(IF(metadata!D795="",FALSE,TRUE),exact(metadata!D795,"weeks"))</f>
        <v>0</v>
      </c>
      <c r="Y795">
        <f>AND(IF(metadata!E795="",FALSE,TRUE),exact(metadata!E795,"urban biome"))</f>
        <v>0</v>
      </c>
      <c r="Z795">
        <f>AND(IF(metadata!F795="",FALSE,TRUE),exact(metadata!F795,"animal-associated habitat"))</f>
        <v>0</v>
      </c>
      <c r="AA795">
        <f>AND(IF(metadata!G795="",FALSE,TRUE),exact(metadata!G795,"mouse"))</f>
        <v>0</v>
      </c>
      <c r="AB795">
        <f>AND(IF(metadata!H795="",FALSE,TRUE),exact(metadata!H795,"Mus musculus"))</f>
        <v>0</v>
      </c>
      <c r="AC795">
        <f>AND(IF(metadata!I795="",FALSE,TRUE),exact(metadata!I795,"10090"))</f>
        <v>0</v>
      </c>
      <c r="AD795">
        <f>OR(AND(IF(metadata!J795="",FALSE,TRUE),OR(exact(metadata!J795,"not applicable"),exact(metadata!J795,"missing: not collected"),exact(metadata!J795,"missing: not provided"),exact(metadata!J795,"missing: restricted access"))),AND(IF(metadata!J795="",FALSE,ISNUMBER(VALUE(metadata!J795))),metadata!J795&gt;0))</f>
        <v>0</v>
      </c>
      <c r="AE795">
        <f>AND(IF(metadata!K795="",FALSE,TRUE),exact(metadata!K795,"g"))</f>
        <v>0</v>
      </c>
    </row>
    <row r="796" spans="1:31">
      <c r="A796" s="5">
        <f>IF(B796=" "," ",HYPERLINK(CONCATENATE("#metadata!",ADDRESS(INDEX($Q$2:$Q$1001,MATCH(ROWS($O$2:O796),$O$2:$O$1001,0),0),1)),INDEX($T$2:$T$1001,MATCH(ROWS($O$2:O796),$O$2:$O$1001,0),0)))</f>
        <v>0</v>
      </c>
      <c r="B796" s="4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4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4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4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4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4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4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4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4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4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OR(AND(IF(metadata!C796="",FALSE,TRUE),OR(exact(metadata!C796,"not applicable"),exact(metadata!C796,"missing: not collected"),exact(metadata!C796,"missing: not provided"),exact(metadata!C796,"missing: restricted access"))),AND(IF(metadata!C796="",FALSE,ISNUMBER(VALUE(metadata!C796))),metadata!C796&gt;0))</f>
        <v>0</v>
      </c>
      <c r="X796">
        <f>AND(IF(metadata!D796="",FALSE,TRUE),exact(metadata!D796,"weeks"))</f>
        <v>0</v>
      </c>
      <c r="Y796">
        <f>AND(IF(metadata!E796="",FALSE,TRUE),exact(metadata!E796,"urban biome"))</f>
        <v>0</v>
      </c>
      <c r="Z796">
        <f>AND(IF(metadata!F796="",FALSE,TRUE),exact(metadata!F796,"animal-associated habitat"))</f>
        <v>0</v>
      </c>
      <c r="AA796">
        <f>AND(IF(metadata!G796="",FALSE,TRUE),exact(metadata!G796,"mouse"))</f>
        <v>0</v>
      </c>
      <c r="AB796">
        <f>AND(IF(metadata!H796="",FALSE,TRUE),exact(metadata!H796,"Mus musculus"))</f>
        <v>0</v>
      </c>
      <c r="AC796">
        <f>AND(IF(metadata!I796="",FALSE,TRUE),exact(metadata!I796,"10090"))</f>
        <v>0</v>
      </c>
      <c r="AD796">
        <f>OR(AND(IF(metadata!J796="",FALSE,TRUE),OR(exact(metadata!J796,"not applicable"),exact(metadata!J796,"missing: not collected"),exact(metadata!J796,"missing: not provided"),exact(metadata!J796,"missing: restricted access"))),AND(IF(metadata!J796="",FALSE,ISNUMBER(VALUE(metadata!J796))),metadata!J796&gt;0))</f>
        <v>0</v>
      </c>
      <c r="AE796">
        <f>AND(IF(metadata!K796="",FALSE,TRUE),exact(metadata!K796,"g"))</f>
        <v>0</v>
      </c>
    </row>
    <row r="797" spans="1:31">
      <c r="A797" s="5">
        <f>IF(B797=" "," ",HYPERLINK(CONCATENATE("#metadata!",ADDRESS(INDEX($Q$2:$Q$1001,MATCH(ROWS($O$2:O797),$O$2:$O$1001,0),0),1)),INDEX($T$2:$T$1001,MATCH(ROWS($O$2:O797),$O$2:$O$1001,0),0)))</f>
        <v>0</v>
      </c>
      <c r="B797" s="4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4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4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4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4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4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4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4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4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4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OR(AND(IF(metadata!C797="",FALSE,TRUE),OR(exact(metadata!C797,"not applicable"),exact(metadata!C797,"missing: not collected"),exact(metadata!C797,"missing: not provided"),exact(metadata!C797,"missing: restricted access"))),AND(IF(metadata!C797="",FALSE,ISNUMBER(VALUE(metadata!C797))),metadata!C797&gt;0))</f>
        <v>0</v>
      </c>
      <c r="X797">
        <f>AND(IF(metadata!D797="",FALSE,TRUE),exact(metadata!D797,"weeks"))</f>
        <v>0</v>
      </c>
      <c r="Y797">
        <f>AND(IF(metadata!E797="",FALSE,TRUE),exact(metadata!E797,"urban biome"))</f>
        <v>0</v>
      </c>
      <c r="Z797">
        <f>AND(IF(metadata!F797="",FALSE,TRUE),exact(metadata!F797,"animal-associated habitat"))</f>
        <v>0</v>
      </c>
      <c r="AA797">
        <f>AND(IF(metadata!G797="",FALSE,TRUE),exact(metadata!G797,"mouse"))</f>
        <v>0</v>
      </c>
      <c r="AB797">
        <f>AND(IF(metadata!H797="",FALSE,TRUE),exact(metadata!H797,"Mus musculus"))</f>
        <v>0</v>
      </c>
      <c r="AC797">
        <f>AND(IF(metadata!I797="",FALSE,TRUE),exact(metadata!I797,"10090"))</f>
        <v>0</v>
      </c>
      <c r="AD797">
        <f>OR(AND(IF(metadata!J797="",FALSE,TRUE),OR(exact(metadata!J797,"not applicable"),exact(metadata!J797,"missing: not collected"),exact(metadata!J797,"missing: not provided"),exact(metadata!J797,"missing: restricted access"))),AND(IF(metadata!J797="",FALSE,ISNUMBER(VALUE(metadata!J797))),metadata!J797&gt;0))</f>
        <v>0</v>
      </c>
      <c r="AE797">
        <f>AND(IF(metadata!K797="",FALSE,TRUE),exact(metadata!K797,"g"))</f>
        <v>0</v>
      </c>
    </row>
    <row r="798" spans="1:31">
      <c r="A798" s="5">
        <f>IF(B798=" "," ",HYPERLINK(CONCATENATE("#metadata!",ADDRESS(INDEX($Q$2:$Q$1001,MATCH(ROWS($O$2:O798),$O$2:$O$1001,0),0),1)),INDEX($T$2:$T$1001,MATCH(ROWS($O$2:O798),$O$2:$O$1001,0),0)))</f>
        <v>0</v>
      </c>
      <c r="B798" s="4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4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4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4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4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4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4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4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4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4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OR(AND(IF(metadata!C798="",FALSE,TRUE),OR(exact(metadata!C798,"not applicable"),exact(metadata!C798,"missing: not collected"),exact(metadata!C798,"missing: not provided"),exact(metadata!C798,"missing: restricted access"))),AND(IF(metadata!C798="",FALSE,ISNUMBER(VALUE(metadata!C798))),metadata!C798&gt;0))</f>
        <v>0</v>
      </c>
      <c r="X798">
        <f>AND(IF(metadata!D798="",FALSE,TRUE),exact(metadata!D798,"weeks"))</f>
        <v>0</v>
      </c>
      <c r="Y798">
        <f>AND(IF(metadata!E798="",FALSE,TRUE),exact(metadata!E798,"urban biome"))</f>
        <v>0</v>
      </c>
      <c r="Z798">
        <f>AND(IF(metadata!F798="",FALSE,TRUE),exact(metadata!F798,"animal-associated habitat"))</f>
        <v>0</v>
      </c>
      <c r="AA798">
        <f>AND(IF(metadata!G798="",FALSE,TRUE),exact(metadata!G798,"mouse"))</f>
        <v>0</v>
      </c>
      <c r="AB798">
        <f>AND(IF(metadata!H798="",FALSE,TRUE),exact(metadata!H798,"Mus musculus"))</f>
        <v>0</v>
      </c>
      <c r="AC798">
        <f>AND(IF(metadata!I798="",FALSE,TRUE),exact(metadata!I798,"10090"))</f>
        <v>0</v>
      </c>
      <c r="AD798">
        <f>OR(AND(IF(metadata!J798="",FALSE,TRUE),OR(exact(metadata!J798,"not applicable"),exact(metadata!J798,"missing: not collected"),exact(metadata!J798,"missing: not provided"),exact(metadata!J798,"missing: restricted access"))),AND(IF(metadata!J798="",FALSE,ISNUMBER(VALUE(metadata!J798))),metadata!J798&gt;0))</f>
        <v>0</v>
      </c>
      <c r="AE798">
        <f>AND(IF(metadata!K798="",FALSE,TRUE),exact(metadata!K798,"g"))</f>
        <v>0</v>
      </c>
    </row>
    <row r="799" spans="1:31">
      <c r="A799" s="5">
        <f>IF(B799=" "," ",HYPERLINK(CONCATENATE("#metadata!",ADDRESS(INDEX($Q$2:$Q$1001,MATCH(ROWS($O$2:O799),$O$2:$O$1001,0),0),1)),INDEX($T$2:$T$1001,MATCH(ROWS($O$2:O799),$O$2:$O$1001,0),0)))</f>
        <v>0</v>
      </c>
      <c r="B799" s="4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4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4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4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4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4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4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4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4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4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OR(AND(IF(metadata!C799="",FALSE,TRUE),OR(exact(metadata!C799,"not applicable"),exact(metadata!C799,"missing: not collected"),exact(metadata!C799,"missing: not provided"),exact(metadata!C799,"missing: restricted access"))),AND(IF(metadata!C799="",FALSE,ISNUMBER(VALUE(metadata!C799))),metadata!C799&gt;0))</f>
        <v>0</v>
      </c>
      <c r="X799">
        <f>AND(IF(metadata!D799="",FALSE,TRUE),exact(metadata!D799,"weeks"))</f>
        <v>0</v>
      </c>
      <c r="Y799">
        <f>AND(IF(metadata!E799="",FALSE,TRUE),exact(metadata!E799,"urban biome"))</f>
        <v>0</v>
      </c>
      <c r="Z799">
        <f>AND(IF(metadata!F799="",FALSE,TRUE),exact(metadata!F799,"animal-associated habitat"))</f>
        <v>0</v>
      </c>
      <c r="AA799">
        <f>AND(IF(metadata!G799="",FALSE,TRUE),exact(metadata!G799,"mouse"))</f>
        <v>0</v>
      </c>
      <c r="AB799">
        <f>AND(IF(metadata!H799="",FALSE,TRUE),exact(metadata!H799,"Mus musculus"))</f>
        <v>0</v>
      </c>
      <c r="AC799">
        <f>AND(IF(metadata!I799="",FALSE,TRUE),exact(metadata!I799,"10090"))</f>
        <v>0</v>
      </c>
      <c r="AD799">
        <f>OR(AND(IF(metadata!J799="",FALSE,TRUE),OR(exact(metadata!J799,"not applicable"),exact(metadata!J799,"missing: not collected"),exact(metadata!J799,"missing: not provided"),exact(metadata!J799,"missing: restricted access"))),AND(IF(metadata!J799="",FALSE,ISNUMBER(VALUE(metadata!J799))),metadata!J799&gt;0))</f>
        <v>0</v>
      </c>
      <c r="AE799">
        <f>AND(IF(metadata!K799="",FALSE,TRUE),exact(metadata!K799,"g"))</f>
        <v>0</v>
      </c>
    </row>
    <row r="800" spans="1:31">
      <c r="A800" s="5">
        <f>IF(B800=" "," ",HYPERLINK(CONCATENATE("#metadata!",ADDRESS(INDEX($Q$2:$Q$1001,MATCH(ROWS($O$2:O800),$O$2:$O$1001,0),0),1)),INDEX($T$2:$T$1001,MATCH(ROWS($O$2:O800),$O$2:$O$1001,0),0)))</f>
        <v>0</v>
      </c>
      <c r="B800" s="4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4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4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4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4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4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4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4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4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4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OR(AND(IF(metadata!C800="",FALSE,TRUE),OR(exact(metadata!C800,"not applicable"),exact(metadata!C800,"missing: not collected"),exact(metadata!C800,"missing: not provided"),exact(metadata!C800,"missing: restricted access"))),AND(IF(metadata!C800="",FALSE,ISNUMBER(VALUE(metadata!C800))),metadata!C800&gt;0))</f>
        <v>0</v>
      </c>
      <c r="X800">
        <f>AND(IF(metadata!D800="",FALSE,TRUE),exact(metadata!D800,"weeks"))</f>
        <v>0</v>
      </c>
      <c r="Y800">
        <f>AND(IF(metadata!E800="",FALSE,TRUE),exact(metadata!E800,"urban biome"))</f>
        <v>0</v>
      </c>
      <c r="Z800">
        <f>AND(IF(metadata!F800="",FALSE,TRUE),exact(metadata!F800,"animal-associated habitat"))</f>
        <v>0</v>
      </c>
      <c r="AA800">
        <f>AND(IF(metadata!G800="",FALSE,TRUE),exact(metadata!G800,"mouse"))</f>
        <v>0</v>
      </c>
      <c r="AB800">
        <f>AND(IF(metadata!H800="",FALSE,TRUE),exact(metadata!H800,"Mus musculus"))</f>
        <v>0</v>
      </c>
      <c r="AC800">
        <f>AND(IF(metadata!I800="",FALSE,TRUE),exact(metadata!I800,"10090"))</f>
        <v>0</v>
      </c>
      <c r="AD800">
        <f>OR(AND(IF(metadata!J800="",FALSE,TRUE),OR(exact(metadata!J800,"not applicable"),exact(metadata!J800,"missing: not collected"),exact(metadata!J800,"missing: not provided"),exact(metadata!J800,"missing: restricted access"))),AND(IF(metadata!J800="",FALSE,ISNUMBER(VALUE(metadata!J800))),metadata!J800&gt;0))</f>
        <v>0</v>
      </c>
      <c r="AE800">
        <f>AND(IF(metadata!K800="",FALSE,TRUE),exact(metadata!K800,"g"))</f>
        <v>0</v>
      </c>
    </row>
    <row r="801" spans="1:31">
      <c r="A801" s="5">
        <f>IF(B801=" "," ",HYPERLINK(CONCATENATE("#metadata!",ADDRESS(INDEX($Q$2:$Q$1001,MATCH(ROWS($O$2:O801),$O$2:$O$1001,0),0),1)),INDEX($T$2:$T$1001,MATCH(ROWS($O$2:O801),$O$2:$O$1001,0),0)))</f>
        <v>0</v>
      </c>
      <c r="B801" s="4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4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4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4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4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4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4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4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4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4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OR(AND(IF(metadata!C801="",FALSE,TRUE),OR(exact(metadata!C801,"not applicable"),exact(metadata!C801,"missing: not collected"),exact(metadata!C801,"missing: not provided"),exact(metadata!C801,"missing: restricted access"))),AND(IF(metadata!C801="",FALSE,ISNUMBER(VALUE(metadata!C801))),metadata!C801&gt;0))</f>
        <v>0</v>
      </c>
      <c r="X801">
        <f>AND(IF(metadata!D801="",FALSE,TRUE),exact(metadata!D801,"weeks"))</f>
        <v>0</v>
      </c>
      <c r="Y801">
        <f>AND(IF(metadata!E801="",FALSE,TRUE),exact(metadata!E801,"urban biome"))</f>
        <v>0</v>
      </c>
      <c r="Z801">
        <f>AND(IF(metadata!F801="",FALSE,TRUE),exact(metadata!F801,"animal-associated habitat"))</f>
        <v>0</v>
      </c>
      <c r="AA801">
        <f>AND(IF(metadata!G801="",FALSE,TRUE),exact(metadata!G801,"mouse"))</f>
        <v>0</v>
      </c>
      <c r="AB801">
        <f>AND(IF(metadata!H801="",FALSE,TRUE),exact(metadata!H801,"Mus musculus"))</f>
        <v>0</v>
      </c>
      <c r="AC801">
        <f>AND(IF(metadata!I801="",FALSE,TRUE),exact(metadata!I801,"10090"))</f>
        <v>0</v>
      </c>
      <c r="AD801">
        <f>OR(AND(IF(metadata!J801="",FALSE,TRUE),OR(exact(metadata!J801,"not applicable"),exact(metadata!J801,"missing: not collected"),exact(metadata!J801,"missing: not provided"),exact(metadata!J801,"missing: restricted access"))),AND(IF(metadata!J801="",FALSE,ISNUMBER(VALUE(metadata!J801))),metadata!J801&gt;0))</f>
        <v>0</v>
      </c>
      <c r="AE801">
        <f>AND(IF(metadata!K801="",FALSE,TRUE),exact(metadata!K801,"g"))</f>
        <v>0</v>
      </c>
    </row>
    <row r="802" spans="1:31">
      <c r="A802" s="5">
        <f>IF(B802=" "," ",HYPERLINK(CONCATENATE("#metadata!",ADDRESS(INDEX($Q$2:$Q$1001,MATCH(ROWS($O$2:O802),$O$2:$O$1001,0),0),1)),INDEX($T$2:$T$1001,MATCH(ROWS($O$2:O802),$O$2:$O$1001,0),0)))</f>
        <v>0</v>
      </c>
      <c r="B802" s="4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4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4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4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4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4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4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4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4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4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OR(AND(IF(metadata!C802="",FALSE,TRUE),OR(exact(metadata!C802,"not applicable"),exact(metadata!C802,"missing: not collected"),exact(metadata!C802,"missing: not provided"),exact(metadata!C802,"missing: restricted access"))),AND(IF(metadata!C802="",FALSE,ISNUMBER(VALUE(metadata!C802))),metadata!C802&gt;0))</f>
        <v>0</v>
      </c>
      <c r="X802">
        <f>AND(IF(metadata!D802="",FALSE,TRUE),exact(metadata!D802,"weeks"))</f>
        <v>0</v>
      </c>
      <c r="Y802">
        <f>AND(IF(metadata!E802="",FALSE,TRUE),exact(metadata!E802,"urban biome"))</f>
        <v>0</v>
      </c>
      <c r="Z802">
        <f>AND(IF(metadata!F802="",FALSE,TRUE),exact(metadata!F802,"animal-associated habitat"))</f>
        <v>0</v>
      </c>
      <c r="AA802">
        <f>AND(IF(metadata!G802="",FALSE,TRUE),exact(metadata!G802,"mouse"))</f>
        <v>0</v>
      </c>
      <c r="AB802">
        <f>AND(IF(metadata!H802="",FALSE,TRUE),exact(metadata!H802,"Mus musculus"))</f>
        <v>0</v>
      </c>
      <c r="AC802">
        <f>AND(IF(metadata!I802="",FALSE,TRUE),exact(metadata!I802,"10090"))</f>
        <v>0</v>
      </c>
      <c r="AD802">
        <f>OR(AND(IF(metadata!J802="",FALSE,TRUE),OR(exact(metadata!J802,"not applicable"),exact(metadata!J802,"missing: not collected"),exact(metadata!J802,"missing: not provided"),exact(metadata!J802,"missing: restricted access"))),AND(IF(metadata!J802="",FALSE,ISNUMBER(VALUE(metadata!J802))),metadata!J802&gt;0))</f>
        <v>0</v>
      </c>
      <c r="AE802">
        <f>AND(IF(metadata!K802="",FALSE,TRUE),exact(metadata!K802,"g"))</f>
        <v>0</v>
      </c>
    </row>
    <row r="803" spans="1:31">
      <c r="A803" s="5">
        <f>IF(B803=" "," ",HYPERLINK(CONCATENATE("#metadata!",ADDRESS(INDEX($Q$2:$Q$1001,MATCH(ROWS($O$2:O803),$O$2:$O$1001,0),0),1)),INDEX($T$2:$T$1001,MATCH(ROWS($O$2:O803),$O$2:$O$1001,0),0)))</f>
        <v>0</v>
      </c>
      <c r="B803" s="4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4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4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4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4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4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4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4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4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4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OR(AND(IF(metadata!C803="",FALSE,TRUE),OR(exact(metadata!C803,"not applicable"),exact(metadata!C803,"missing: not collected"),exact(metadata!C803,"missing: not provided"),exact(metadata!C803,"missing: restricted access"))),AND(IF(metadata!C803="",FALSE,ISNUMBER(VALUE(metadata!C803))),metadata!C803&gt;0))</f>
        <v>0</v>
      </c>
      <c r="X803">
        <f>AND(IF(metadata!D803="",FALSE,TRUE),exact(metadata!D803,"weeks"))</f>
        <v>0</v>
      </c>
      <c r="Y803">
        <f>AND(IF(metadata!E803="",FALSE,TRUE),exact(metadata!E803,"urban biome"))</f>
        <v>0</v>
      </c>
      <c r="Z803">
        <f>AND(IF(metadata!F803="",FALSE,TRUE),exact(metadata!F803,"animal-associated habitat"))</f>
        <v>0</v>
      </c>
      <c r="AA803">
        <f>AND(IF(metadata!G803="",FALSE,TRUE),exact(metadata!G803,"mouse"))</f>
        <v>0</v>
      </c>
      <c r="AB803">
        <f>AND(IF(metadata!H803="",FALSE,TRUE),exact(metadata!H803,"Mus musculus"))</f>
        <v>0</v>
      </c>
      <c r="AC803">
        <f>AND(IF(metadata!I803="",FALSE,TRUE),exact(metadata!I803,"10090"))</f>
        <v>0</v>
      </c>
      <c r="AD803">
        <f>OR(AND(IF(metadata!J803="",FALSE,TRUE),OR(exact(metadata!J803,"not applicable"),exact(metadata!J803,"missing: not collected"),exact(metadata!J803,"missing: not provided"),exact(metadata!J803,"missing: restricted access"))),AND(IF(metadata!J803="",FALSE,ISNUMBER(VALUE(metadata!J803))),metadata!J803&gt;0))</f>
        <v>0</v>
      </c>
      <c r="AE803">
        <f>AND(IF(metadata!K803="",FALSE,TRUE),exact(metadata!K803,"g"))</f>
        <v>0</v>
      </c>
    </row>
    <row r="804" spans="1:31">
      <c r="A804" s="5">
        <f>IF(B804=" "," ",HYPERLINK(CONCATENATE("#metadata!",ADDRESS(INDEX($Q$2:$Q$1001,MATCH(ROWS($O$2:O804),$O$2:$O$1001,0),0),1)),INDEX($T$2:$T$1001,MATCH(ROWS($O$2:O804),$O$2:$O$1001,0),0)))</f>
        <v>0</v>
      </c>
      <c r="B804" s="4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4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4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4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4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4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4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4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4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4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OR(AND(IF(metadata!C804="",FALSE,TRUE),OR(exact(metadata!C804,"not applicable"),exact(metadata!C804,"missing: not collected"),exact(metadata!C804,"missing: not provided"),exact(metadata!C804,"missing: restricted access"))),AND(IF(metadata!C804="",FALSE,ISNUMBER(VALUE(metadata!C804))),metadata!C804&gt;0))</f>
        <v>0</v>
      </c>
      <c r="X804">
        <f>AND(IF(metadata!D804="",FALSE,TRUE),exact(metadata!D804,"weeks"))</f>
        <v>0</v>
      </c>
      <c r="Y804">
        <f>AND(IF(metadata!E804="",FALSE,TRUE),exact(metadata!E804,"urban biome"))</f>
        <v>0</v>
      </c>
      <c r="Z804">
        <f>AND(IF(metadata!F804="",FALSE,TRUE),exact(metadata!F804,"animal-associated habitat"))</f>
        <v>0</v>
      </c>
      <c r="AA804">
        <f>AND(IF(metadata!G804="",FALSE,TRUE),exact(metadata!G804,"mouse"))</f>
        <v>0</v>
      </c>
      <c r="AB804">
        <f>AND(IF(metadata!H804="",FALSE,TRUE),exact(metadata!H804,"Mus musculus"))</f>
        <v>0</v>
      </c>
      <c r="AC804">
        <f>AND(IF(metadata!I804="",FALSE,TRUE),exact(metadata!I804,"10090"))</f>
        <v>0</v>
      </c>
      <c r="AD804">
        <f>OR(AND(IF(metadata!J804="",FALSE,TRUE),OR(exact(metadata!J804,"not applicable"),exact(metadata!J804,"missing: not collected"),exact(metadata!J804,"missing: not provided"),exact(metadata!J804,"missing: restricted access"))),AND(IF(metadata!J804="",FALSE,ISNUMBER(VALUE(metadata!J804))),metadata!J804&gt;0))</f>
        <v>0</v>
      </c>
      <c r="AE804">
        <f>AND(IF(metadata!K804="",FALSE,TRUE),exact(metadata!K804,"g"))</f>
        <v>0</v>
      </c>
    </row>
    <row r="805" spans="1:31">
      <c r="A805" s="5">
        <f>IF(B805=" "," ",HYPERLINK(CONCATENATE("#metadata!",ADDRESS(INDEX($Q$2:$Q$1001,MATCH(ROWS($O$2:O805),$O$2:$O$1001,0),0),1)),INDEX($T$2:$T$1001,MATCH(ROWS($O$2:O805),$O$2:$O$1001,0),0)))</f>
        <v>0</v>
      </c>
      <c r="B805" s="4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4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4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4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4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4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4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4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4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4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OR(AND(IF(metadata!C805="",FALSE,TRUE),OR(exact(metadata!C805,"not applicable"),exact(metadata!C805,"missing: not collected"),exact(metadata!C805,"missing: not provided"),exact(metadata!C805,"missing: restricted access"))),AND(IF(metadata!C805="",FALSE,ISNUMBER(VALUE(metadata!C805))),metadata!C805&gt;0))</f>
        <v>0</v>
      </c>
      <c r="X805">
        <f>AND(IF(metadata!D805="",FALSE,TRUE),exact(metadata!D805,"weeks"))</f>
        <v>0</v>
      </c>
      <c r="Y805">
        <f>AND(IF(metadata!E805="",FALSE,TRUE),exact(metadata!E805,"urban biome"))</f>
        <v>0</v>
      </c>
      <c r="Z805">
        <f>AND(IF(metadata!F805="",FALSE,TRUE),exact(metadata!F805,"animal-associated habitat"))</f>
        <v>0</v>
      </c>
      <c r="AA805">
        <f>AND(IF(metadata!G805="",FALSE,TRUE),exact(metadata!G805,"mouse"))</f>
        <v>0</v>
      </c>
      <c r="AB805">
        <f>AND(IF(metadata!H805="",FALSE,TRUE),exact(metadata!H805,"Mus musculus"))</f>
        <v>0</v>
      </c>
      <c r="AC805">
        <f>AND(IF(metadata!I805="",FALSE,TRUE),exact(metadata!I805,"10090"))</f>
        <v>0</v>
      </c>
      <c r="AD805">
        <f>OR(AND(IF(metadata!J805="",FALSE,TRUE),OR(exact(metadata!J805,"not applicable"),exact(metadata!J805,"missing: not collected"),exact(metadata!J805,"missing: not provided"),exact(metadata!J805,"missing: restricted access"))),AND(IF(metadata!J805="",FALSE,ISNUMBER(VALUE(metadata!J805))),metadata!J805&gt;0))</f>
        <v>0</v>
      </c>
      <c r="AE805">
        <f>AND(IF(metadata!K805="",FALSE,TRUE),exact(metadata!K805,"g"))</f>
        <v>0</v>
      </c>
    </row>
    <row r="806" spans="1:31">
      <c r="A806" s="5">
        <f>IF(B806=" "," ",HYPERLINK(CONCATENATE("#metadata!",ADDRESS(INDEX($Q$2:$Q$1001,MATCH(ROWS($O$2:O806),$O$2:$O$1001,0),0),1)),INDEX($T$2:$T$1001,MATCH(ROWS($O$2:O806),$O$2:$O$1001,0),0)))</f>
        <v>0</v>
      </c>
      <c r="B806" s="4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4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4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4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4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4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4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4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4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4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OR(AND(IF(metadata!C806="",FALSE,TRUE),OR(exact(metadata!C806,"not applicable"),exact(metadata!C806,"missing: not collected"),exact(metadata!C806,"missing: not provided"),exact(metadata!C806,"missing: restricted access"))),AND(IF(metadata!C806="",FALSE,ISNUMBER(VALUE(metadata!C806))),metadata!C806&gt;0))</f>
        <v>0</v>
      </c>
      <c r="X806">
        <f>AND(IF(metadata!D806="",FALSE,TRUE),exact(metadata!D806,"weeks"))</f>
        <v>0</v>
      </c>
      <c r="Y806">
        <f>AND(IF(metadata!E806="",FALSE,TRUE),exact(metadata!E806,"urban biome"))</f>
        <v>0</v>
      </c>
      <c r="Z806">
        <f>AND(IF(metadata!F806="",FALSE,TRUE),exact(metadata!F806,"animal-associated habitat"))</f>
        <v>0</v>
      </c>
      <c r="AA806">
        <f>AND(IF(metadata!G806="",FALSE,TRUE),exact(metadata!G806,"mouse"))</f>
        <v>0</v>
      </c>
      <c r="AB806">
        <f>AND(IF(metadata!H806="",FALSE,TRUE),exact(metadata!H806,"Mus musculus"))</f>
        <v>0</v>
      </c>
      <c r="AC806">
        <f>AND(IF(metadata!I806="",FALSE,TRUE),exact(metadata!I806,"10090"))</f>
        <v>0</v>
      </c>
      <c r="AD806">
        <f>OR(AND(IF(metadata!J806="",FALSE,TRUE),OR(exact(metadata!J806,"not applicable"),exact(metadata!J806,"missing: not collected"),exact(metadata!J806,"missing: not provided"),exact(metadata!J806,"missing: restricted access"))),AND(IF(metadata!J806="",FALSE,ISNUMBER(VALUE(metadata!J806))),metadata!J806&gt;0))</f>
        <v>0</v>
      </c>
      <c r="AE806">
        <f>AND(IF(metadata!K806="",FALSE,TRUE),exact(metadata!K806,"g"))</f>
        <v>0</v>
      </c>
    </row>
    <row r="807" spans="1:31">
      <c r="A807" s="5">
        <f>IF(B807=" "," ",HYPERLINK(CONCATENATE("#metadata!",ADDRESS(INDEX($Q$2:$Q$1001,MATCH(ROWS($O$2:O807),$O$2:$O$1001,0),0),1)),INDEX($T$2:$T$1001,MATCH(ROWS($O$2:O807),$O$2:$O$1001,0),0)))</f>
        <v>0</v>
      </c>
      <c r="B807" s="4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4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4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4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4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4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4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4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4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4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OR(AND(IF(metadata!C807="",FALSE,TRUE),OR(exact(metadata!C807,"not applicable"),exact(metadata!C807,"missing: not collected"),exact(metadata!C807,"missing: not provided"),exact(metadata!C807,"missing: restricted access"))),AND(IF(metadata!C807="",FALSE,ISNUMBER(VALUE(metadata!C807))),metadata!C807&gt;0))</f>
        <v>0</v>
      </c>
      <c r="X807">
        <f>AND(IF(metadata!D807="",FALSE,TRUE),exact(metadata!D807,"weeks"))</f>
        <v>0</v>
      </c>
      <c r="Y807">
        <f>AND(IF(metadata!E807="",FALSE,TRUE),exact(metadata!E807,"urban biome"))</f>
        <v>0</v>
      </c>
      <c r="Z807">
        <f>AND(IF(metadata!F807="",FALSE,TRUE),exact(metadata!F807,"animal-associated habitat"))</f>
        <v>0</v>
      </c>
      <c r="AA807">
        <f>AND(IF(metadata!G807="",FALSE,TRUE),exact(metadata!G807,"mouse"))</f>
        <v>0</v>
      </c>
      <c r="AB807">
        <f>AND(IF(metadata!H807="",FALSE,TRUE),exact(metadata!H807,"Mus musculus"))</f>
        <v>0</v>
      </c>
      <c r="AC807">
        <f>AND(IF(metadata!I807="",FALSE,TRUE),exact(metadata!I807,"10090"))</f>
        <v>0</v>
      </c>
      <c r="AD807">
        <f>OR(AND(IF(metadata!J807="",FALSE,TRUE),OR(exact(metadata!J807,"not applicable"),exact(metadata!J807,"missing: not collected"),exact(metadata!J807,"missing: not provided"),exact(metadata!J807,"missing: restricted access"))),AND(IF(metadata!J807="",FALSE,ISNUMBER(VALUE(metadata!J807))),metadata!J807&gt;0))</f>
        <v>0</v>
      </c>
      <c r="AE807">
        <f>AND(IF(metadata!K807="",FALSE,TRUE),exact(metadata!K807,"g"))</f>
        <v>0</v>
      </c>
    </row>
    <row r="808" spans="1:31">
      <c r="A808" s="5">
        <f>IF(B808=" "," ",HYPERLINK(CONCATENATE("#metadata!",ADDRESS(INDEX($Q$2:$Q$1001,MATCH(ROWS($O$2:O808),$O$2:$O$1001,0),0),1)),INDEX($T$2:$T$1001,MATCH(ROWS($O$2:O808),$O$2:$O$1001,0),0)))</f>
        <v>0</v>
      </c>
      <c r="B808" s="4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4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4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4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4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4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4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4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4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4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OR(AND(IF(metadata!C808="",FALSE,TRUE),OR(exact(metadata!C808,"not applicable"),exact(metadata!C808,"missing: not collected"),exact(metadata!C808,"missing: not provided"),exact(metadata!C808,"missing: restricted access"))),AND(IF(metadata!C808="",FALSE,ISNUMBER(VALUE(metadata!C808))),metadata!C808&gt;0))</f>
        <v>0</v>
      </c>
      <c r="X808">
        <f>AND(IF(metadata!D808="",FALSE,TRUE),exact(metadata!D808,"weeks"))</f>
        <v>0</v>
      </c>
      <c r="Y808">
        <f>AND(IF(metadata!E808="",FALSE,TRUE),exact(metadata!E808,"urban biome"))</f>
        <v>0</v>
      </c>
      <c r="Z808">
        <f>AND(IF(metadata!F808="",FALSE,TRUE),exact(metadata!F808,"animal-associated habitat"))</f>
        <v>0</v>
      </c>
      <c r="AA808">
        <f>AND(IF(metadata!G808="",FALSE,TRUE),exact(metadata!G808,"mouse"))</f>
        <v>0</v>
      </c>
      <c r="AB808">
        <f>AND(IF(metadata!H808="",FALSE,TRUE),exact(metadata!H808,"Mus musculus"))</f>
        <v>0</v>
      </c>
      <c r="AC808">
        <f>AND(IF(metadata!I808="",FALSE,TRUE),exact(metadata!I808,"10090"))</f>
        <v>0</v>
      </c>
      <c r="AD808">
        <f>OR(AND(IF(metadata!J808="",FALSE,TRUE),OR(exact(metadata!J808,"not applicable"),exact(metadata!J808,"missing: not collected"),exact(metadata!J808,"missing: not provided"),exact(metadata!J808,"missing: restricted access"))),AND(IF(metadata!J808="",FALSE,ISNUMBER(VALUE(metadata!J808))),metadata!J808&gt;0))</f>
        <v>0</v>
      </c>
      <c r="AE808">
        <f>AND(IF(metadata!K808="",FALSE,TRUE),exact(metadata!K808,"g"))</f>
        <v>0</v>
      </c>
    </row>
    <row r="809" spans="1:31">
      <c r="A809" s="5">
        <f>IF(B809=" "," ",HYPERLINK(CONCATENATE("#metadata!",ADDRESS(INDEX($Q$2:$Q$1001,MATCH(ROWS($O$2:O809),$O$2:$O$1001,0),0),1)),INDEX($T$2:$T$1001,MATCH(ROWS($O$2:O809),$O$2:$O$1001,0),0)))</f>
        <v>0</v>
      </c>
      <c r="B809" s="4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4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4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4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4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4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4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4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4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4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OR(AND(IF(metadata!C809="",FALSE,TRUE),OR(exact(metadata!C809,"not applicable"),exact(metadata!C809,"missing: not collected"),exact(metadata!C809,"missing: not provided"),exact(metadata!C809,"missing: restricted access"))),AND(IF(metadata!C809="",FALSE,ISNUMBER(VALUE(metadata!C809))),metadata!C809&gt;0))</f>
        <v>0</v>
      </c>
      <c r="X809">
        <f>AND(IF(metadata!D809="",FALSE,TRUE),exact(metadata!D809,"weeks"))</f>
        <v>0</v>
      </c>
      <c r="Y809">
        <f>AND(IF(metadata!E809="",FALSE,TRUE),exact(metadata!E809,"urban biome"))</f>
        <v>0</v>
      </c>
      <c r="Z809">
        <f>AND(IF(metadata!F809="",FALSE,TRUE),exact(metadata!F809,"animal-associated habitat"))</f>
        <v>0</v>
      </c>
      <c r="AA809">
        <f>AND(IF(metadata!G809="",FALSE,TRUE),exact(metadata!G809,"mouse"))</f>
        <v>0</v>
      </c>
      <c r="AB809">
        <f>AND(IF(metadata!H809="",FALSE,TRUE),exact(metadata!H809,"Mus musculus"))</f>
        <v>0</v>
      </c>
      <c r="AC809">
        <f>AND(IF(metadata!I809="",FALSE,TRUE),exact(metadata!I809,"10090"))</f>
        <v>0</v>
      </c>
      <c r="AD809">
        <f>OR(AND(IF(metadata!J809="",FALSE,TRUE),OR(exact(metadata!J809,"not applicable"),exact(metadata!J809,"missing: not collected"),exact(metadata!J809,"missing: not provided"),exact(metadata!J809,"missing: restricted access"))),AND(IF(metadata!J809="",FALSE,ISNUMBER(VALUE(metadata!J809))),metadata!J809&gt;0))</f>
        <v>0</v>
      </c>
      <c r="AE809">
        <f>AND(IF(metadata!K809="",FALSE,TRUE),exact(metadata!K809,"g"))</f>
        <v>0</v>
      </c>
    </row>
    <row r="810" spans="1:31">
      <c r="A810" s="5">
        <f>IF(B810=" "," ",HYPERLINK(CONCATENATE("#metadata!",ADDRESS(INDEX($Q$2:$Q$1001,MATCH(ROWS($O$2:O810),$O$2:$O$1001,0),0),1)),INDEX($T$2:$T$1001,MATCH(ROWS($O$2:O810),$O$2:$O$1001,0),0)))</f>
        <v>0</v>
      </c>
      <c r="B810" s="4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4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4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4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4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4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4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4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4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4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OR(AND(IF(metadata!C810="",FALSE,TRUE),OR(exact(metadata!C810,"not applicable"),exact(metadata!C810,"missing: not collected"),exact(metadata!C810,"missing: not provided"),exact(metadata!C810,"missing: restricted access"))),AND(IF(metadata!C810="",FALSE,ISNUMBER(VALUE(metadata!C810))),metadata!C810&gt;0))</f>
        <v>0</v>
      </c>
      <c r="X810">
        <f>AND(IF(metadata!D810="",FALSE,TRUE),exact(metadata!D810,"weeks"))</f>
        <v>0</v>
      </c>
      <c r="Y810">
        <f>AND(IF(metadata!E810="",FALSE,TRUE),exact(metadata!E810,"urban biome"))</f>
        <v>0</v>
      </c>
      <c r="Z810">
        <f>AND(IF(metadata!F810="",FALSE,TRUE),exact(metadata!F810,"animal-associated habitat"))</f>
        <v>0</v>
      </c>
      <c r="AA810">
        <f>AND(IF(metadata!G810="",FALSE,TRUE),exact(metadata!G810,"mouse"))</f>
        <v>0</v>
      </c>
      <c r="AB810">
        <f>AND(IF(metadata!H810="",FALSE,TRUE),exact(metadata!H810,"Mus musculus"))</f>
        <v>0</v>
      </c>
      <c r="AC810">
        <f>AND(IF(metadata!I810="",FALSE,TRUE),exact(metadata!I810,"10090"))</f>
        <v>0</v>
      </c>
      <c r="AD810">
        <f>OR(AND(IF(metadata!J810="",FALSE,TRUE),OR(exact(metadata!J810,"not applicable"),exact(metadata!J810,"missing: not collected"),exact(metadata!J810,"missing: not provided"),exact(metadata!J810,"missing: restricted access"))),AND(IF(metadata!J810="",FALSE,ISNUMBER(VALUE(metadata!J810))),metadata!J810&gt;0))</f>
        <v>0</v>
      </c>
      <c r="AE810">
        <f>AND(IF(metadata!K810="",FALSE,TRUE),exact(metadata!K810,"g"))</f>
        <v>0</v>
      </c>
    </row>
    <row r="811" spans="1:31">
      <c r="A811" s="5">
        <f>IF(B811=" "," ",HYPERLINK(CONCATENATE("#metadata!",ADDRESS(INDEX($Q$2:$Q$1001,MATCH(ROWS($O$2:O811),$O$2:$O$1001,0),0),1)),INDEX($T$2:$T$1001,MATCH(ROWS($O$2:O811),$O$2:$O$1001,0),0)))</f>
        <v>0</v>
      </c>
      <c r="B811" s="4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4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4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4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4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4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4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4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4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4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OR(AND(IF(metadata!C811="",FALSE,TRUE),OR(exact(metadata!C811,"not applicable"),exact(metadata!C811,"missing: not collected"),exact(metadata!C811,"missing: not provided"),exact(metadata!C811,"missing: restricted access"))),AND(IF(metadata!C811="",FALSE,ISNUMBER(VALUE(metadata!C811))),metadata!C811&gt;0))</f>
        <v>0</v>
      </c>
      <c r="X811">
        <f>AND(IF(metadata!D811="",FALSE,TRUE),exact(metadata!D811,"weeks"))</f>
        <v>0</v>
      </c>
      <c r="Y811">
        <f>AND(IF(metadata!E811="",FALSE,TRUE),exact(metadata!E811,"urban biome"))</f>
        <v>0</v>
      </c>
      <c r="Z811">
        <f>AND(IF(metadata!F811="",FALSE,TRUE),exact(metadata!F811,"animal-associated habitat"))</f>
        <v>0</v>
      </c>
      <c r="AA811">
        <f>AND(IF(metadata!G811="",FALSE,TRUE),exact(metadata!G811,"mouse"))</f>
        <v>0</v>
      </c>
      <c r="AB811">
        <f>AND(IF(metadata!H811="",FALSE,TRUE),exact(metadata!H811,"Mus musculus"))</f>
        <v>0</v>
      </c>
      <c r="AC811">
        <f>AND(IF(metadata!I811="",FALSE,TRUE),exact(metadata!I811,"10090"))</f>
        <v>0</v>
      </c>
      <c r="AD811">
        <f>OR(AND(IF(metadata!J811="",FALSE,TRUE),OR(exact(metadata!J811,"not applicable"),exact(metadata!J811,"missing: not collected"),exact(metadata!J811,"missing: not provided"),exact(metadata!J811,"missing: restricted access"))),AND(IF(metadata!J811="",FALSE,ISNUMBER(VALUE(metadata!J811))),metadata!J811&gt;0))</f>
        <v>0</v>
      </c>
      <c r="AE811">
        <f>AND(IF(metadata!K811="",FALSE,TRUE),exact(metadata!K811,"g"))</f>
        <v>0</v>
      </c>
    </row>
    <row r="812" spans="1:31">
      <c r="A812" s="5">
        <f>IF(B812=" "," ",HYPERLINK(CONCATENATE("#metadata!",ADDRESS(INDEX($Q$2:$Q$1001,MATCH(ROWS($O$2:O812),$O$2:$O$1001,0),0),1)),INDEX($T$2:$T$1001,MATCH(ROWS($O$2:O812),$O$2:$O$1001,0),0)))</f>
        <v>0</v>
      </c>
      <c r="B812" s="4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4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4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4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4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4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4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4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4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4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OR(AND(IF(metadata!C812="",FALSE,TRUE),OR(exact(metadata!C812,"not applicable"),exact(metadata!C812,"missing: not collected"),exact(metadata!C812,"missing: not provided"),exact(metadata!C812,"missing: restricted access"))),AND(IF(metadata!C812="",FALSE,ISNUMBER(VALUE(metadata!C812))),metadata!C812&gt;0))</f>
        <v>0</v>
      </c>
      <c r="X812">
        <f>AND(IF(metadata!D812="",FALSE,TRUE),exact(metadata!D812,"weeks"))</f>
        <v>0</v>
      </c>
      <c r="Y812">
        <f>AND(IF(metadata!E812="",FALSE,TRUE),exact(metadata!E812,"urban biome"))</f>
        <v>0</v>
      </c>
      <c r="Z812">
        <f>AND(IF(metadata!F812="",FALSE,TRUE),exact(metadata!F812,"animal-associated habitat"))</f>
        <v>0</v>
      </c>
      <c r="AA812">
        <f>AND(IF(metadata!G812="",FALSE,TRUE),exact(metadata!G812,"mouse"))</f>
        <v>0</v>
      </c>
      <c r="AB812">
        <f>AND(IF(metadata!H812="",FALSE,TRUE),exact(metadata!H812,"Mus musculus"))</f>
        <v>0</v>
      </c>
      <c r="AC812">
        <f>AND(IF(metadata!I812="",FALSE,TRUE),exact(metadata!I812,"10090"))</f>
        <v>0</v>
      </c>
      <c r="AD812">
        <f>OR(AND(IF(metadata!J812="",FALSE,TRUE),OR(exact(metadata!J812,"not applicable"),exact(metadata!J812,"missing: not collected"),exact(metadata!J812,"missing: not provided"),exact(metadata!J812,"missing: restricted access"))),AND(IF(metadata!J812="",FALSE,ISNUMBER(VALUE(metadata!J812))),metadata!J812&gt;0))</f>
        <v>0</v>
      </c>
      <c r="AE812">
        <f>AND(IF(metadata!K812="",FALSE,TRUE),exact(metadata!K812,"g"))</f>
        <v>0</v>
      </c>
    </row>
    <row r="813" spans="1:31">
      <c r="A813" s="5">
        <f>IF(B813=" "," ",HYPERLINK(CONCATENATE("#metadata!",ADDRESS(INDEX($Q$2:$Q$1001,MATCH(ROWS($O$2:O813),$O$2:$O$1001,0),0),1)),INDEX($T$2:$T$1001,MATCH(ROWS($O$2:O813),$O$2:$O$1001,0),0)))</f>
        <v>0</v>
      </c>
      <c r="B813" s="4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4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4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4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4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4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4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4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4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4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OR(AND(IF(metadata!C813="",FALSE,TRUE),OR(exact(metadata!C813,"not applicable"),exact(metadata!C813,"missing: not collected"),exact(metadata!C813,"missing: not provided"),exact(metadata!C813,"missing: restricted access"))),AND(IF(metadata!C813="",FALSE,ISNUMBER(VALUE(metadata!C813))),metadata!C813&gt;0))</f>
        <v>0</v>
      </c>
      <c r="X813">
        <f>AND(IF(metadata!D813="",FALSE,TRUE),exact(metadata!D813,"weeks"))</f>
        <v>0</v>
      </c>
      <c r="Y813">
        <f>AND(IF(metadata!E813="",FALSE,TRUE),exact(metadata!E813,"urban biome"))</f>
        <v>0</v>
      </c>
      <c r="Z813">
        <f>AND(IF(metadata!F813="",FALSE,TRUE),exact(metadata!F813,"animal-associated habitat"))</f>
        <v>0</v>
      </c>
      <c r="AA813">
        <f>AND(IF(metadata!G813="",FALSE,TRUE),exact(metadata!G813,"mouse"))</f>
        <v>0</v>
      </c>
      <c r="AB813">
        <f>AND(IF(metadata!H813="",FALSE,TRUE),exact(metadata!H813,"Mus musculus"))</f>
        <v>0</v>
      </c>
      <c r="AC813">
        <f>AND(IF(metadata!I813="",FALSE,TRUE),exact(metadata!I813,"10090"))</f>
        <v>0</v>
      </c>
      <c r="AD813">
        <f>OR(AND(IF(metadata!J813="",FALSE,TRUE),OR(exact(metadata!J813,"not applicable"),exact(metadata!J813,"missing: not collected"),exact(metadata!J813,"missing: not provided"),exact(metadata!J813,"missing: restricted access"))),AND(IF(metadata!J813="",FALSE,ISNUMBER(VALUE(metadata!J813))),metadata!J813&gt;0))</f>
        <v>0</v>
      </c>
      <c r="AE813">
        <f>AND(IF(metadata!K813="",FALSE,TRUE),exact(metadata!K813,"g"))</f>
        <v>0</v>
      </c>
    </row>
    <row r="814" spans="1:31">
      <c r="A814" s="5">
        <f>IF(B814=" "," ",HYPERLINK(CONCATENATE("#metadata!",ADDRESS(INDEX($Q$2:$Q$1001,MATCH(ROWS($O$2:O814),$O$2:$O$1001,0),0),1)),INDEX($T$2:$T$1001,MATCH(ROWS($O$2:O814),$O$2:$O$1001,0),0)))</f>
        <v>0</v>
      </c>
      <c r="B814" s="4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4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4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4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4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4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4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4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4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4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OR(AND(IF(metadata!C814="",FALSE,TRUE),OR(exact(metadata!C814,"not applicable"),exact(metadata!C814,"missing: not collected"),exact(metadata!C814,"missing: not provided"),exact(metadata!C814,"missing: restricted access"))),AND(IF(metadata!C814="",FALSE,ISNUMBER(VALUE(metadata!C814))),metadata!C814&gt;0))</f>
        <v>0</v>
      </c>
      <c r="X814">
        <f>AND(IF(metadata!D814="",FALSE,TRUE),exact(metadata!D814,"weeks"))</f>
        <v>0</v>
      </c>
      <c r="Y814">
        <f>AND(IF(metadata!E814="",FALSE,TRUE),exact(metadata!E814,"urban biome"))</f>
        <v>0</v>
      </c>
      <c r="Z814">
        <f>AND(IF(metadata!F814="",FALSE,TRUE),exact(metadata!F814,"animal-associated habitat"))</f>
        <v>0</v>
      </c>
      <c r="AA814">
        <f>AND(IF(metadata!G814="",FALSE,TRUE),exact(metadata!G814,"mouse"))</f>
        <v>0</v>
      </c>
      <c r="AB814">
        <f>AND(IF(metadata!H814="",FALSE,TRUE),exact(metadata!H814,"Mus musculus"))</f>
        <v>0</v>
      </c>
      <c r="AC814">
        <f>AND(IF(metadata!I814="",FALSE,TRUE),exact(metadata!I814,"10090"))</f>
        <v>0</v>
      </c>
      <c r="AD814">
        <f>OR(AND(IF(metadata!J814="",FALSE,TRUE),OR(exact(metadata!J814,"not applicable"),exact(metadata!J814,"missing: not collected"),exact(metadata!J814,"missing: not provided"),exact(metadata!J814,"missing: restricted access"))),AND(IF(metadata!J814="",FALSE,ISNUMBER(VALUE(metadata!J814))),metadata!J814&gt;0))</f>
        <v>0</v>
      </c>
      <c r="AE814">
        <f>AND(IF(metadata!K814="",FALSE,TRUE),exact(metadata!K814,"g"))</f>
        <v>0</v>
      </c>
    </row>
    <row r="815" spans="1:31">
      <c r="A815" s="5">
        <f>IF(B815=" "," ",HYPERLINK(CONCATENATE("#metadata!",ADDRESS(INDEX($Q$2:$Q$1001,MATCH(ROWS($O$2:O815),$O$2:$O$1001,0),0),1)),INDEX($T$2:$T$1001,MATCH(ROWS($O$2:O815),$O$2:$O$1001,0),0)))</f>
        <v>0</v>
      </c>
      <c r="B815" s="4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4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4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4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4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4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4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4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4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4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OR(AND(IF(metadata!C815="",FALSE,TRUE),OR(exact(metadata!C815,"not applicable"),exact(metadata!C815,"missing: not collected"),exact(metadata!C815,"missing: not provided"),exact(metadata!C815,"missing: restricted access"))),AND(IF(metadata!C815="",FALSE,ISNUMBER(VALUE(metadata!C815))),metadata!C815&gt;0))</f>
        <v>0</v>
      </c>
      <c r="X815">
        <f>AND(IF(metadata!D815="",FALSE,TRUE),exact(metadata!D815,"weeks"))</f>
        <v>0</v>
      </c>
      <c r="Y815">
        <f>AND(IF(metadata!E815="",FALSE,TRUE),exact(metadata!E815,"urban biome"))</f>
        <v>0</v>
      </c>
      <c r="Z815">
        <f>AND(IF(metadata!F815="",FALSE,TRUE),exact(metadata!F815,"animal-associated habitat"))</f>
        <v>0</v>
      </c>
      <c r="AA815">
        <f>AND(IF(metadata!G815="",FALSE,TRUE),exact(metadata!G815,"mouse"))</f>
        <v>0</v>
      </c>
      <c r="AB815">
        <f>AND(IF(metadata!H815="",FALSE,TRUE),exact(metadata!H815,"Mus musculus"))</f>
        <v>0</v>
      </c>
      <c r="AC815">
        <f>AND(IF(metadata!I815="",FALSE,TRUE),exact(metadata!I815,"10090"))</f>
        <v>0</v>
      </c>
      <c r="AD815">
        <f>OR(AND(IF(metadata!J815="",FALSE,TRUE),OR(exact(metadata!J815,"not applicable"),exact(metadata!J815,"missing: not collected"),exact(metadata!J815,"missing: not provided"),exact(metadata!J815,"missing: restricted access"))),AND(IF(metadata!J815="",FALSE,ISNUMBER(VALUE(metadata!J815))),metadata!J815&gt;0))</f>
        <v>0</v>
      </c>
      <c r="AE815">
        <f>AND(IF(metadata!K815="",FALSE,TRUE),exact(metadata!K815,"g"))</f>
        <v>0</v>
      </c>
    </row>
    <row r="816" spans="1:31">
      <c r="A816" s="5">
        <f>IF(B816=" "," ",HYPERLINK(CONCATENATE("#metadata!",ADDRESS(INDEX($Q$2:$Q$1001,MATCH(ROWS($O$2:O816),$O$2:$O$1001,0),0),1)),INDEX($T$2:$T$1001,MATCH(ROWS($O$2:O816),$O$2:$O$1001,0),0)))</f>
        <v>0</v>
      </c>
      <c r="B816" s="4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4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4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4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4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4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4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4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4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4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OR(AND(IF(metadata!C816="",FALSE,TRUE),OR(exact(metadata!C816,"not applicable"),exact(metadata!C816,"missing: not collected"),exact(metadata!C816,"missing: not provided"),exact(metadata!C816,"missing: restricted access"))),AND(IF(metadata!C816="",FALSE,ISNUMBER(VALUE(metadata!C816))),metadata!C816&gt;0))</f>
        <v>0</v>
      </c>
      <c r="X816">
        <f>AND(IF(metadata!D816="",FALSE,TRUE),exact(metadata!D816,"weeks"))</f>
        <v>0</v>
      </c>
      <c r="Y816">
        <f>AND(IF(metadata!E816="",FALSE,TRUE),exact(metadata!E816,"urban biome"))</f>
        <v>0</v>
      </c>
      <c r="Z816">
        <f>AND(IF(metadata!F816="",FALSE,TRUE),exact(metadata!F816,"animal-associated habitat"))</f>
        <v>0</v>
      </c>
      <c r="AA816">
        <f>AND(IF(metadata!G816="",FALSE,TRUE),exact(metadata!G816,"mouse"))</f>
        <v>0</v>
      </c>
      <c r="AB816">
        <f>AND(IF(metadata!H816="",FALSE,TRUE),exact(metadata!H816,"Mus musculus"))</f>
        <v>0</v>
      </c>
      <c r="AC816">
        <f>AND(IF(metadata!I816="",FALSE,TRUE),exact(metadata!I816,"10090"))</f>
        <v>0</v>
      </c>
      <c r="AD816">
        <f>OR(AND(IF(metadata!J816="",FALSE,TRUE),OR(exact(metadata!J816,"not applicable"),exact(metadata!J816,"missing: not collected"),exact(metadata!J816,"missing: not provided"),exact(metadata!J816,"missing: restricted access"))),AND(IF(metadata!J816="",FALSE,ISNUMBER(VALUE(metadata!J816))),metadata!J816&gt;0))</f>
        <v>0</v>
      </c>
      <c r="AE816">
        <f>AND(IF(metadata!K816="",FALSE,TRUE),exact(metadata!K816,"g"))</f>
        <v>0</v>
      </c>
    </row>
    <row r="817" spans="1:31">
      <c r="A817" s="5">
        <f>IF(B817=" "," ",HYPERLINK(CONCATENATE("#metadata!",ADDRESS(INDEX($Q$2:$Q$1001,MATCH(ROWS($O$2:O817),$O$2:$O$1001,0),0),1)),INDEX($T$2:$T$1001,MATCH(ROWS($O$2:O817),$O$2:$O$1001,0),0)))</f>
        <v>0</v>
      </c>
      <c r="B817" s="4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4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4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4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4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4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4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4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4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4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OR(AND(IF(metadata!C817="",FALSE,TRUE),OR(exact(metadata!C817,"not applicable"),exact(metadata!C817,"missing: not collected"),exact(metadata!C817,"missing: not provided"),exact(metadata!C817,"missing: restricted access"))),AND(IF(metadata!C817="",FALSE,ISNUMBER(VALUE(metadata!C817))),metadata!C817&gt;0))</f>
        <v>0</v>
      </c>
      <c r="X817">
        <f>AND(IF(metadata!D817="",FALSE,TRUE),exact(metadata!D817,"weeks"))</f>
        <v>0</v>
      </c>
      <c r="Y817">
        <f>AND(IF(metadata!E817="",FALSE,TRUE),exact(metadata!E817,"urban biome"))</f>
        <v>0</v>
      </c>
      <c r="Z817">
        <f>AND(IF(metadata!F817="",FALSE,TRUE),exact(metadata!F817,"animal-associated habitat"))</f>
        <v>0</v>
      </c>
      <c r="AA817">
        <f>AND(IF(metadata!G817="",FALSE,TRUE),exact(metadata!G817,"mouse"))</f>
        <v>0</v>
      </c>
      <c r="AB817">
        <f>AND(IF(metadata!H817="",FALSE,TRUE),exact(metadata!H817,"Mus musculus"))</f>
        <v>0</v>
      </c>
      <c r="AC817">
        <f>AND(IF(metadata!I817="",FALSE,TRUE),exact(metadata!I817,"10090"))</f>
        <v>0</v>
      </c>
      <c r="AD817">
        <f>OR(AND(IF(metadata!J817="",FALSE,TRUE),OR(exact(metadata!J817,"not applicable"),exact(metadata!J817,"missing: not collected"),exact(metadata!J817,"missing: not provided"),exact(metadata!J817,"missing: restricted access"))),AND(IF(metadata!J817="",FALSE,ISNUMBER(VALUE(metadata!J817))),metadata!J817&gt;0))</f>
        <v>0</v>
      </c>
      <c r="AE817">
        <f>AND(IF(metadata!K817="",FALSE,TRUE),exact(metadata!K817,"g"))</f>
        <v>0</v>
      </c>
    </row>
    <row r="818" spans="1:31">
      <c r="A818" s="5">
        <f>IF(B818=" "," ",HYPERLINK(CONCATENATE("#metadata!",ADDRESS(INDEX($Q$2:$Q$1001,MATCH(ROWS($O$2:O818),$O$2:$O$1001,0),0),1)),INDEX($T$2:$T$1001,MATCH(ROWS($O$2:O818),$O$2:$O$1001,0),0)))</f>
        <v>0</v>
      </c>
      <c r="B818" s="4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4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4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4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4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4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4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4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4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4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OR(AND(IF(metadata!C818="",FALSE,TRUE),OR(exact(metadata!C818,"not applicable"),exact(metadata!C818,"missing: not collected"),exact(metadata!C818,"missing: not provided"),exact(metadata!C818,"missing: restricted access"))),AND(IF(metadata!C818="",FALSE,ISNUMBER(VALUE(metadata!C818))),metadata!C818&gt;0))</f>
        <v>0</v>
      </c>
      <c r="X818">
        <f>AND(IF(metadata!D818="",FALSE,TRUE),exact(metadata!D818,"weeks"))</f>
        <v>0</v>
      </c>
      <c r="Y818">
        <f>AND(IF(metadata!E818="",FALSE,TRUE),exact(metadata!E818,"urban biome"))</f>
        <v>0</v>
      </c>
      <c r="Z818">
        <f>AND(IF(metadata!F818="",FALSE,TRUE),exact(metadata!F818,"animal-associated habitat"))</f>
        <v>0</v>
      </c>
      <c r="AA818">
        <f>AND(IF(metadata!G818="",FALSE,TRUE),exact(metadata!G818,"mouse"))</f>
        <v>0</v>
      </c>
      <c r="AB818">
        <f>AND(IF(metadata!H818="",FALSE,TRUE),exact(metadata!H818,"Mus musculus"))</f>
        <v>0</v>
      </c>
      <c r="AC818">
        <f>AND(IF(metadata!I818="",FALSE,TRUE),exact(metadata!I818,"10090"))</f>
        <v>0</v>
      </c>
      <c r="AD818">
        <f>OR(AND(IF(metadata!J818="",FALSE,TRUE),OR(exact(metadata!J818,"not applicable"),exact(metadata!J818,"missing: not collected"),exact(metadata!J818,"missing: not provided"),exact(metadata!J818,"missing: restricted access"))),AND(IF(metadata!J818="",FALSE,ISNUMBER(VALUE(metadata!J818))),metadata!J818&gt;0))</f>
        <v>0</v>
      </c>
      <c r="AE818">
        <f>AND(IF(metadata!K818="",FALSE,TRUE),exact(metadata!K818,"g"))</f>
        <v>0</v>
      </c>
    </row>
    <row r="819" spans="1:31">
      <c r="A819" s="5">
        <f>IF(B819=" "," ",HYPERLINK(CONCATENATE("#metadata!",ADDRESS(INDEX($Q$2:$Q$1001,MATCH(ROWS($O$2:O819),$O$2:$O$1001,0),0),1)),INDEX($T$2:$T$1001,MATCH(ROWS($O$2:O819),$O$2:$O$1001,0),0)))</f>
        <v>0</v>
      </c>
      <c r="B819" s="4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4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4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4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4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4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4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4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4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4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OR(AND(IF(metadata!C819="",FALSE,TRUE),OR(exact(metadata!C819,"not applicable"),exact(metadata!C819,"missing: not collected"),exact(metadata!C819,"missing: not provided"),exact(metadata!C819,"missing: restricted access"))),AND(IF(metadata!C819="",FALSE,ISNUMBER(VALUE(metadata!C819))),metadata!C819&gt;0))</f>
        <v>0</v>
      </c>
      <c r="X819">
        <f>AND(IF(metadata!D819="",FALSE,TRUE),exact(metadata!D819,"weeks"))</f>
        <v>0</v>
      </c>
      <c r="Y819">
        <f>AND(IF(metadata!E819="",FALSE,TRUE),exact(metadata!E819,"urban biome"))</f>
        <v>0</v>
      </c>
      <c r="Z819">
        <f>AND(IF(metadata!F819="",FALSE,TRUE),exact(metadata!F819,"animal-associated habitat"))</f>
        <v>0</v>
      </c>
      <c r="AA819">
        <f>AND(IF(metadata!G819="",FALSE,TRUE),exact(metadata!G819,"mouse"))</f>
        <v>0</v>
      </c>
      <c r="AB819">
        <f>AND(IF(metadata!H819="",FALSE,TRUE),exact(metadata!H819,"Mus musculus"))</f>
        <v>0</v>
      </c>
      <c r="AC819">
        <f>AND(IF(metadata!I819="",FALSE,TRUE),exact(metadata!I819,"10090"))</f>
        <v>0</v>
      </c>
      <c r="AD819">
        <f>OR(AND(IF(metadata!J819="",FALSE,TRUE),OR(exact(metadata!J819,"not applicable"),exact(metadata!J819,"missing: not collected"),exact(metadata!J819,"missing: not provided"),exact(metadata!J819,"missing: restricted access"))),AND(IF(metadata!J819="",FALSE,ISNUMBER(VALUE(metadata!J819))),metadata!J819&gt;0))</f>
        <v>0</v>
      </c>
      <c r="AE819">
        <f>AND(IF(metadata!K819="",FALSE,TRUE),exact(metadata!K819,"g"))</f>
        <v>0</v>
      </c>
    </row>
    <row r="820" spans="1:31">
      <c r="A820" s="5">
        <f>IF(B820=" "," ",HYPERLINK(CONCATENATE("#metadata!",ADDRESS(INDEX($Q$2:$Q$1001,MATCH(ROWS($O$2:O820),$O$2:$O$1001,0),0),1)),INDEX($T$2:$T$1001,MATCH(ROWS($O$2:O820),$O$2:$O$1001,0),0)))</f>
        <v>0</v>
      </c>
      <c r="B820" s="4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4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4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4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4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4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4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4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4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4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OR(AND(IF(metadata!C820="",FALSE,TRUE),OR(exact(metadata!C820,"not applicable"),exact(metadata!C820,"missing: not collected"),exact(metadata!C820,"missing: not provided"),exact(metadata!C820,"missing: restricted access"))),AND(IF(metadata!C820="",FALSE,ISNUMBER(VALUE(metadata!C820))),metadata!C820&gt;0))</f>
        <v>0</v>
      </c>
      <c r="X820">
        <f>AND(IF(metadata!D820="",FALSE,TRUE),exact(metadata!D820,"weeks"))</f>
        <v>0</v>
      </c>
      <c r="Y820">
        <f>AND(IF(metadata!E820="",FALSE,TRUE),exact(metadata!E820,"urban biome"))</f>
        <v>0</v>
      </c>
      <c r="Z820">
        <f>AND(IF(metadata!F820="",FALSE,TRUE),exact(metadata!F820,"animal-associated habitat"))</f>
        <v>0</v>
      </c>
      <c r="AA820">
        <f>AND(IF(metadata!G820="",FALSE,TRUE),exact(metadata!G820,"mouse"))</f>
        <v>0</v>
      </c>
      <c r="AB820">
        <f>AND(IF(metadata!H820="",FALSE,TRUE),exact(metadata!H820,"Mus musculus"))</f>
        <v>0</v>
      </c>
      <c r="AC820">
        <f>AND(IF(metadata!I820="",FALSE,TRUE),exact(metadata!I820,"10090"))</f>
        <v>0</v>
      </c>
      <c r="AD820">
        <f>OR(AND(IF(metadata!J820="",FALSE,TRUE),OR(exact(metadata!J820,"not applicable"),exact(metadata!J820,"missing: not collected"),exact(metadata!J820,"missing: not provided"),exact(metadata!J820,"missing: restricted access"))),AND(IF(metadata!J820="",FALSE,ISNUMBER(VALUE(metadata!J820))),metadata!J820&gt;0))</f>
        <v>0</v>
      </c>
      <c r="AE820">
        <f>AND(IF(metadata!K820="",FALSE,TRUE),exact(metadata!K820,"g"))</f>
        <v>0</v>
      </c>
    </row>
    <row r="821" spans="1:31">
      <c r="A821" s="5">
        <f>IF(B821=" "," ",HYPERLINK(CONCATENATE("#metadata!",ADDRESS(INDEX($Q$2:$Q$1001,MATCH(ROWS($O$2:O821),$O$2:$O$1001,0),0),1)),INDEX($T$2:$T$1001,MATCH(ROWS($O$2:O821),$O$2:$O$1001,0),0)))</f>
        <v>0</v>
      </c>
      <c r="B821" s="4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4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4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4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4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4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4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4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4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4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OR(AND(IF(metadata!C821="",FALSE,TRUE),OR(exact(metadata!C821,"not applicable"),exact(metadata!C821,"missing: not collected"),exact(metadata!C821,"missing: not provided"),exact(metadata!C821,"missing: restricted access"))),AND(IF(metadata!C821="",FALSE,ISNUMBER(VALUE(metadata!C821))),metadata!C821&gt;0))</f>
        <v>0</v>
      </c>
      <c r="X821">
        <f>AND(IF(metadata!D821="",FALSE,TRUE),exact(metadata!D821,"weeks"))</f>
        <v>0</v>
      </c>
      <c r="Y821">
        <f>AND(IF(metadata!E821="",FALSE,TRUE),exact(metadata!E821,"urban biome"))</f>
        <v>0</v>
      </c>
      <c r="Z821">
        <f>AND(IF(metadata!F821="",FALSE,TRUE),exact(metadata!F821,"animal-associated habitat"))</f>
        <v>0</v>
      </c>
      <c r="AA821">
        <f>AND(IF(metadata!G821="",FALSE,TRUE),exact(metadata!G821,"mouse"))</f>
        <v>0</v>
      </c>
      <c r="AB821">
        <f>AND(IF(metadata!H821="",FALSE,TRUE),exact(metadata!H821,"Mus musculus"))</f>
        <v>0</v>
      </c>
      <c r="AC821">
        <f>AND(IF(metadata!I821="",FALSE,TRUE),exact(metadata!I821,"10090"))</f>
        <v>0</v>
      </c>
      <c r="AD821">
        <f>OR(AND(IF(metadata!J821="",FALSE,TRUE),OR(exact(metadata!J821,"not applicable"),exact(metadata!J821,"missing: not collected"),exact(metadata!J821,"missing: not provided"),exact(metadata!J821,"missing: restricted access"))),AND(IF(metadata!J821="",FALSE,ISNUMBER(VALUE(metadata!J821))),metadata!J821&gt;0))</f>
        <v>0</v>
      </c>
      <c r="AE821">
        <f>AND(IF(metadata!K821="",FALSE,TRUE),exact(metadata!K821,"g"))</f>
        <v>0</v>
      </c>
    </row>
    <row r="822" spans="1:31">
      <c r="A822" s="5">
        <f>IF(B822=" "," ",HYPERLINK(CONCATENATE("#metadata!",ADDRESS(INDEX($Q$2:$Q$1001,MATCH(ROWS($O$2:O822),$O$2:$O$1001,0),0),1)),INDEX($T$2:$T$1001,MATCH(ROWS($O$2:O822),$O$2:$O$1001,0),0)))</f>
        <v>0</v>
      </c>
      <c r="B822" s="4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4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4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4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4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4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4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4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4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4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OR(AND(IF(metadata!C822="",FALSE,TRUE),OR(exact(metadata!C822,"not applicable"),exact(metadata!C822,"missing: not collected"),exact(metadata!C822,"missing: not provided"),exact(metadata!C822,"missing: restricted access"))),AND(IF(metadata!C822="",FALSE,ISNUMBER(VALUE(metadata!C822))),metadata!C822&gt;0))</f>
        <v>0</v>
      </c>
      <c r="X822">
        <f>AND(IF(metadata!D822="",FALSE,TRUE),exact(metadata!D822,"weeks"))</f>
        <v>0</v>
      </c>
      <c r="Y822">
        <f>AND(IF(metadata!E822="",FALSE,TRUE),exact(metadata!E822,"urban biome"))</f>
        <v>0</v>
      </c>
      <c r="Z822">
        <f>AND(IF(metadata!F822="",FALSE,TRUE),exact(metadata!F822,"animal-associated habitat"))</f>
        <v>0</v>
      </c>
      <c r="AA822">
        <f>AND(IF(metadata!G822="",FALSE,TRUE),exact(metadata!G822,"mouse"))</f>
        <v>0</v>
      </c>
      <c r="AB822">
        <f>AND(IF(metadata!H822="",FALSE,TRUE),exact(metadata!H822,"Mus musculus"))</f>
        <v>0</v>
      </c>
      <c r="AC822">
        <f>AND(IF(metadata!I822="",FALSE,TRUE),exact(metadata!I822,"10090"))</f>
        <v>0</v>
      </c>
      <c r="AD822">
        <f>OR(AND(IF(metadata!J822="",FALSE,TRUE),OR(exact(metadata!J822,"not applicable"),exact(metadata!J822,"missing: not collected"),exact(metadata!J822,"missing: not provided"),exact(metadata!J822,"missing: restricted access"))),AND(IF(metadata!J822="",FALSE,ISNUMBER(VALUE(metadata!J822))),metadata!J822&gt;0))</f>
        <v>0</v>
      </c>
      <c r="AE822">
        <f>AND(IF(metadata!K822="",FALSE,TRUE),exact(metadata!K822,"g"))</f>
        <v>0</v>
      </c>
    </row>
    <row r="823" spans="1:31">
      <c r="A823" s="5">
        <f>IF(B823=" "," ",HYPERLINK(CONCATENATE("#metadata!",ADDRESS(INDEX($Q$2:$Q$1001,MATCH(ROWS($O$2:O823),$O$2:$O$1001,0),0),1)),INDEX($T$2:$T$1001,MATCH(ROWS($O$2:O823),$O$2:$O$1001,0),0)))</f>
        <v>0</v>
      </c>
      <c r="B823" s="4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4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4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4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4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4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4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4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4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4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OR(AND(IF(metadata!C823="",FALSE,TRUE),OR(exact(metadata!C823,"not applicable"),exact(metadata!C823,"missing: not collected"),exact(metadata!C823,"missing: not provided"),exact(metadata!C823,"missing: restricted access"))),AND(IF(metadata!C823="",FALSE,ISNUMBER(VALUE(metadata!C823))),metadata!C823&gt;0))</f>
        <v>0</v>
      </c>
      <c r="X823">
        <f>AND(IF(metadata!D823="",FALSE,TRUE),exact(metadata!D823,"weeks"))</f>
        <v>0</v>
      </c>
      <c r="Y823">
        <f>AND(IF(metadata!E823="",FALSE,TRUE),exact(metadata!E823,"urban biome"))</f>
        <v>0</v>
      </c>
      <c r="Z823">
        <f>AND(IF(metadata!F823="",FALSE,TRUE),exact(metadata!F823,"animal-associated habitat"))</f>
        <v>0</v>
      </c>
      <c r="AA823">
        <f>AND(IF(metadata!G823="",FALSE,TRUE),exact(metadata!G823,"mouse"))</f>
        <v>0</v>
      </c>
      <c r="AB823">
        <f>AND(IF(metadata!H823="",FALSE,TRUE),exact(metadata!H823,"Mus musculus"))</f>
        <v>0</v>
      </c>
      <c r="AC823">
        <f>AND(IF(metadata!I823="",FALSE,TRUE),exact(metadata!I823,"10090"))</f>
        <v>0</v>
      </c>
      <c r="AD823">
        <f>OR(AND(IF(metadata!J823="",FALSE,TRUE),OR(exact(metadata!J823,"not applicable"),exact(metadata!J823,"missing: not collected"),exact(metadata!J823,"missing: not provided"),exact(metadata!J823,"missing: restricted access"))),AND(IF(metadata!J823="",FALSE,ISNUMBER(VALUE(metadata!J823))),metadata!J823&gt;0))</f>
        <v>0</v>
      </c>
      <c r="AE823">
        <f>AND(IF(metadata!K823="",FALSE,TRUE),exact(metadata!K823,"g"))</f>
        <v>0</v>
      </c>
    </row>
    <row r="824" spans="1:31">
      <c r="A824" s="5">
        <f>IF(B824=" "," ",HYPERLINK(CONCATENATE("#metadata!",ADDRESS(INDEX($Q$2:$Q$1001,MATCH(ROWS($O$2:O824),$O$2:$O$1001,0),0),1)),INDEX($T$2:$T$1001,MATCH(ROWS($O$2:O824),$O$2:$O$1001,0),0)))</f>
        <v>0</v>
      </c>
      <c r="B824" s="4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4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4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4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4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4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4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4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4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4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OR(AND(IF(metadata!C824="",FALSE,TRUE),OR(exact(metadata!C824,"not applicable"),exact(metadata!C824,"missing: not collected"),exact(metadata!C824,"missing: not provided"),exact(metadata!C824,"missing: restricted access"))),AND(IF(metadata!C824="",FALSE,ISNUMBER(VALUE(metadata!C824))),metadata!C824&gt;0))</f>
        <v>0</v>
      </c>
      <c r="X824">
        <f>AND(IF(metadata!D824="",FALSE,TRUE),exact(metadata!D824,"weeks"))</f>
        <v>0</v>
      </c>
      <c r="Y824">
        <f>AND(IF(metadata!E824="",FALSE,TRUE),exact(metadata!E824,"urban biome"))</f>
        <v>0</v>
      </c>
      <c r="Z824">
        <f>AND(IF(metadata!F824="",FALSE,TRUE),exact(metadata!F824,"animal-associated habitat"))</f>
        <v>0</v>
      </c>
      <c r="AA824">
        <f>AND(IF(metadata!G824="",FALSE,TRUE),exact(metadata!G824,"mouse"))</f>
        <v>0</v>
      </c>
      <c r="AB824">
        <f>AND(IF(metadata!H824="",FALSE,TRUE),exact(metadata!H824,"Mus musculus"))</f>
        <v>0</v>
      </c>
      <c r="AC824">
        <f>AND(IF(metadata!I824="",FALSE,TRUE),exact(metadata!I824,"10090"))</f>
        <v>0</v>
      </c>
      <c r="AD824">
        <f>OR(AND(IF(metadata!J824="",FALSE,TRUE),OR(exact(metadata!J824,"not applicable"),exact(metadata!J824,"missing: not collected"),exact(metadata!J824,"missing: not provided"),exact(metadata!J824,"missing: restricted access"))),AND(IF(metadata!J824="",FALSE,ISNUMBER(VALUE(metadata!J824))),metadata!J824&gt;0))</f>
        <v>0</v>
      </c>
      <c r="AE824">
        <f>AND(IF(metadata!K824="",FALSE,TRUE),exact(metadata!K824,"g"))</f>
        <v>0</v>
      </c>
    </row>
    <row r="825" spans="1:31">
      <c r="A825" s="5">
        <f>IF(B825=" "," ",HYPERLINK(CONCATENATE("#metadata!",ADDRESS(INDEX($Q$2:$Q$1001,MATCH(ROWS($O$2:O825),$O$2:$O$1001,0),0),1)),INDEX($T$2:$T$1001,MATCH(ROWS($O$2:O825),$O$2:$O$1001,0),0)))</f>
        <v>0</v>
      </c>
      <c r="B825" s="4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4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4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4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4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4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4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4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4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4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OR(AND(IF(metadata!C825="",FALSE,TRUE),OR(exact(metadata!C825,"not applicable"),exact(metadata!C825,"missing: not collected"),exact(metadata!C825,"missing: not provided"),exact(metadata!C825,"missing: restricted access"))),AND(IF(metadata!C825="",FALSE,ISNUMBER(VALUE(metadata!C825))),metadata!C825&gt;0))</f>
        <v>0</v>
      </c>
      <c r="X825">
        <f>AND(IF(metadata!D825="",FALSE,TRUE),exact(metadata!D825,"weeks"))</f>
        <v>0</v>
      </c>
      <c r="Y825">
        <f>AND(IF(metadata!E825="",FALSE,TRUE),exact(metadata!E825,"urban biome"))</f>
        <v>0</v>
      </c>
      <c r="Z825">
        <f>AND(IF(metadata!F825="",FALSE,TRUE),exact(metadata!F825,"animal-associated habitat"))</f>
        <v>0</v>
      </c>
      <c r="AA825">
        <f>AND(IF(metadata!G825="",FALSE,TRUE),exact(metadata!G825,"mouse"))</f>
        <v>0</v>
      </c>
      <c r="AB825">
        <f>AND(IF(metadata!H825="",FALSE,TRUE),exact(metadata!H825,"Mus musculus"))</f>
        <v>0</v>
      </c>
      <c r="AC825">
        <f>AND(IF(metadata!I825="",FALSE,TRUE),exact(metadata!I825,"10090"))</f>
        <v>0</v>
      </c>
      <c r="AD825">
        <f>OR(AND(IF(metadata!J825="",FALSE,TRUE),OR(exact(metadata!J825,"not applicable"),exact(metadata!J825,"missing: not collected"),exact(metadata!J825,"missing: not provided"),exact(metadata!J825,"missing: restricted access"))),AND(IF(metadata!J825="",FALSE,ISNUMBER(VALUE(metadata!J825))),metadata!J825&gt;0))</f>
        <v>0</v>
      </c>
      <c r="AE825">
        <f>AND(IF(metadata!K825="",FALSE,TRUE),exact(metadata!K825,"g"))</f>
        <v>0</v>
      </c>
    </row>
    <row r="826" spans="1:31">
      <c r="A826" s="5">
        <f>IF(B826=" "," ",HYPERLINK(CONCATENATE("#metadata!",ADDRESS(INDEX($Q$2:$Q$1001,MATCH(ROWS($O$2:O826),$O$2:$O$1001,0),0),1)),INDEX($T$2:$T$1001,MATCH(ROWS($O$2:O826),$O$2:$O$1001,0),0)))</f>
        <v>0</v>
      </c>
      <c r="B826" s="4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4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4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4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4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4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4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4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4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4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OR(AND(IF(metadata!C826="",FALSE,TRUE),OR(exact(metadata!C826,"not applicable"),exact(metadata!C826,"missing: not collected"),exact(metadata!C826,"missing: not provided"),exact(metadata!C826,"missing: restricted access"))),AND(IF(metadata!C826="",FALSE,ISNUMBER(VALUE(metadata!C826))),metadata!C826&gt;0))</f>
        <v>0</v>
      </c>
      <c r="X826">
        <f>AND(IF(metadata!D826="",FALSE,TRUE),exact(metadata!D826,"weeks"))</f>
        <v>0</v>
      </c>
      <c r="Y826">
        <f>AND(IF(metadata!E826="",FALSE,TRUE),exact(metadata!E826,"urban biome"))</f>
        <v>0</v>
      </c>
      <c r="Z826">
        <f>AND(IF(metadata!F826="",FALSE,TRUE),exact(metadata!F826,"animal-associated habitat"))</f>
        <v>0</v>
      </c>
      <c r="AA826">
        <f>AND(IF(metadata!G826="",FALSE,TRUE),exact(metadata!G826,"mouse"))</f>
        <v>0</v>
      </c>
      <c r="AB826">
        <f>AND(IF(metadata!H826="",FALSE,TRUE),exact(metadata!H826,"Mus musculus"))</f>
        <v>0</v>
      </c>
      <c r="AC826">
        <f>AND(IF(metadata!I826="",FALSE,TRUE),exact(metadata!I826,"10090"))</f>
        <v>0</v>
      </c>
      <c r="AD826">
        <f>OR(AND(IF(metadata!J826="",FALSE,TRUE),OR(exact(metadata!J826,"not applicable"),exact(metadata!J826,"missing: not collected"),exact(metadata!J826,"missing: not provided"),exact(metadata!J826,"missing: restricted access"))),AND(IF(metadata!J826="",FALSE,ISNUMBER(VALUE(metadata!J826))),metadata!J826&gt;0))</f>
        <v>0</v>
      </c>
      <c r="AE826">
        <f>AND(IF(metadata!K826="",FALSE,TRUE),exact(metadata!K826,"g"))</f>
        <v>0</v>
      </c>
    </row>
    <row r="827" spans="1:31">
      <c r="A827" s="5">
        <f>IF(B827=" "," ",HYPERLINK(CONCATENATE("#metadata!",ADDRESS(INDEX($Q$2:$Q$1001,MATCH(ROWS($O$2:O827),$O$2:$O$1001,0),0),1)),INDEX($T$2:$T$1001,MATCH(ROWS($O$2:O827),$O$2:$O$1001,0),0)))</f>
        <v>0</v>
      </c>
      <c r="B827" s="4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4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4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4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4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4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4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4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4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4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OR(AND(IF(metadata!C827="",FALSE,TRUE),OR(exact(metadata!C827,"not applicable"),exact(metadata!C827,"missing: not collected"),exact(metadata!C827,"missing: not provided"),exact(metadata!C827,"missing: restricted access"))),AND(IF(metadata!C827="",FALSE,ISNUMBER(VALUE(metadata!C827))),metadata!C827&gt;0))</f>
        <v>0</v>
      </c>
      <c r="X827">
        <f>AND(IF(metadata!D827="",FALSE,TRUE),exact(metadata!D827,"weeks"))</f>
        <v>0</v>
      </c>
      <c r="Y827">
        <f>AND(IF(metadata!E827="",FALSE,TRUE),exact(metadata!E827,"urban biome"))</f>
        <v>0</v>
      </c>
      <c r="Z827">
        <f>AND(IF(metadata!F827="",FALSE,TRUE),exact(metadata!F827,"animal-associated habitat"))</f>
        <v>0</v>
      </c>
      <c r="AA827">
        <f>AND(IF(metadata!G827="",FALSE,TRUE),exact(metadata!G827,"mouse"))</f>
        <v>0</v>
      </c>
      <c r="AB827">
        <f>AND(IF(metadata!H827="",FALSE,TRUE),exact(metadata!H827,"Mus musculus"))</f>
        <v>0</v>
      </c>
      <c r="AC827">
        <f>AND(IF(metadata!I827="",FALSE,TRUE),exact(metadata!I827,"10090"))</f>
        <v>0</v>
      </c>
      <c r="AD827">
        <f>OR(AND(IF(metadata!J827="",FALSE,TRUE),OR(exact(metadata!J827,"not applicable"),exact(metadata!J827,"missing: not collected"),exact(metadata!J827,"missing: not provided"),exact(metadata!J827,"missing: restricted access"))),AND(IF(metadata!J827="",FALSE,ISNUMBER(VALUE(metadata!J827))),metadata!J827&gt;0))</f>
        <v>0</v>
      </c>
      <c r="AE827">
        <f>AND(IF(metadata!K827="",FALSE,TRUE),exact(metadata!K827,"g"))</f>
        <v>0</v>
      </c>
    </row>
    <row r="828" spans="1:31">
      <c r="A828" s="5">
        <f>IF(B828=" "," ",HYPERLINK(CONCATENATE("#metadata!",ADDRESS(INDEX($Q$2:$Q$1001,MATCH(ROWS($O$2:O828),$O$2:$O$1001,0),0),1)),INDEX($T$2:$T$1001,MATCH(ROWS($O$2:O828),$O$2:$O$1001,0),0)))</f>
        <v>0</v>
      </c>
      <c r="B828" s="4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4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4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4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4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4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4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4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4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4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OR(AND(IF(metadata!C828="",FALSE,TRUE),OR(exact(metadata!C828,"not applicable"),exact(metadata!C828,"missing: not collected"),exact(metadata!C828,"missing: not provided"),exact(metadata!C828,"missing: restricted access"))),AND(IF(metadata!C828="",FALSE,ISNUMBER(VALUE(metadata!C828))),metadata!C828&gt;0))</f>
        <v>0</v>
      </c>
      <c r="X828">
        <f>AND(IF(metadata!D828="",FALSE,TRUE),exact(metadata!D828,"weeks"))</f>
        <v>0</v>
      </c>
      <c r="Y828">
        <f>AND(IF(metadata!E828="",FALSE,TRUE),exact(metadata!E828,"urban biome"))</f>
        <v>0</v>
      </c>
      <c r="Z828">
        <f>AND(IF(metadata!F828="",FALSE,TRUE),exact(metadata!F828,"animal-associated habitat"))</f>
        <v>0</v>
      </c>
      <c r="AA828">
        <f>AND(IF(metadata!G828="",FALSE,TRUE),exact(metadata!G828,"mouse"))</f>
        <v>0</v>
      </c>
      <c r="AB828">
        <f>AND(IF(metadata!H828="",FALSE,TRUE),exact(metadata!H828,"Mus musculus"))</f>
        <v>0</v>
      </c>
      <c r="AC828">
        <f>AND(IF(metadata!I828="",FALSE,TRUE),exact(metadata!I828,"10090"))</f>
        <v>0</v>
      </c>
      <c r="AD828">
        <f>OR(AND(IF(metadata!J828="",FALSE,TRUE),OR(exact(metadata!J828,"not applicable"),exact(metadata!J828,"missing: not collected"),exact(metadata!J828,"missing: not provided"),exact(metadata!J828,"missing: restricted access"))),AND(IF(metadata!J828="",FALSE,ISNUMBER(VALUE(metadata!J828))),metadata!J828&gt;0))</f>
        <v>0</v>
      </c>
      <c r="AE828">
        <f>AND(IF(metadata!K828="",FALSE,TRUE),exact(metadata!K828,"g"))</f>
        <v>0</v>
      </c>
    </row>
    <row r="829" spans="1:31">
      <c r="A829" s="5">
        <f>IF(B829=" "," ",HYPERLINK(CONCATENATE("#metadata!",ADDRESS(INDEX($Q$2:$Q$1001,MATCH(ROWS($O$2:O829),$O$2:$O$1001,0),0),1)),INDEX($T$2:$T$1001,MATCH(ROWS($O$2:O829),$O$2:$O$1001,0),0)))</f>
        <v>0</v>
      </c>
      <c r="B829" s="4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4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4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4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4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4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4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4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4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4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OR(AND(IF(metadata!C829="",FALSE,TRUE),OR(exact(metadata!C829,"not applicable"),exact(metadata!C829,"missing: not collected"),exact(metadata!C829,"missing: not provided"),exact(metadata!C829,"missing: restricted access"))),AND(IF(metadata!C829="",FALSE,ISNUMBER(VALUE(metadata!C829))),metadata!C829&gt;0))</f>
        <v>0</v>
      </c>
      <c r="X829">
        <f>AND(IF(metadata!D829="",FALSE,TRUE),exact(metadata!D829,"weeks"))</f>
        <v>0</v>
      </c>
      <c r="Y829">
        <f>AND(IF(metadata!E829="",FALSE,TRUE),exact(metadata!E829,"urban biome"))</f>
        <v>0</v>
      </c>
      <c r="Z829">
        <f>AND(IF(metadata!F829="",FALSE,TRUE),exact(metadata!F829,"animal-associated habitat"))</f>
        <v>0</v>
      </c>
      <c r="AA829">
        <f>AND(IF(metadata!G829="",FALSE,TRUE),exact(metadata!G829,"mouse"))</f>
        <v>0</v>
      </c>
      <c r="AB829">
        <f>AND(IF(metadata!H829="",FALSE,TRUE),exact(metadata!H829,"Mus musculus"))</f>
        <v>0</v>
      </c>
      <c r="AC829">
        <f>AND(IF(metadata!I829="",FALSE,TRUE),exact(metadata!I829,"10090"))</f>
        <v>0</v>
      </c>
      <c r="AD829">
        <f>OR(AND(IF(metadata!J829="",FALSE,TRUE),OR(exact(metadata!J829,"not applicable"),exact(metadata!J829,"missing: not collected"),exact(metadata!J829,"missing: not provided"),exact(metadata!J829,"missing: restricted access"))),AND(IF(metadata!J829="",FALSE,ISNUMBER(VALUE(metadata!J829))),metadata!J829&gt;0))</f>
        <v>0</v>
      </c>
      <c r="AE829">
        <f>AND(IF(metadata!K829="",FALSE,TRUE),exact(metadata!K829,"g"))</f>
        <v>0</v>
      </c>
    </row>
    <row r="830" spans="1:31">
      <c r="A830" s="5">
        <f>IF(B830=" "," ",HYPERLINK(CONCATENATE("#metadata!",ADDRESS(INDEX($Q$2:$Q$1001,MATCH(ROWS($O$2:O830),$O$2:$O$1001,0),0),1)),INDEX($T$2:$T$1001,MATCH(ROWS($O$2:O830),$O$2:$O$1001,0),0)))</f>
        <v>0</v>
      </c>
      <c r="B830" s="4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4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4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4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4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4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4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4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4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4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OR(AND(IF(metadata!C830="",FALSE,TRUE),OR(exact(metadata!C830,"not applicable"),exact(metadata!C830,"missing: not collected"),exact(metadata!C830,"missing: not provided"),exact(metadata!C830,"missing: restricted access"))),AND(IF(metadata!C830="",FALSE,ISNUMBER(VALUE(metadata!C830))),metadata!C830&gt;0))</f>
        <v>0</v>
      </c>
      <c r="X830">
        <f>AND(IF(metadata!D830="",FALSE,TRUE),exact(metadata!D830,"weeks"))</f>
        <v>0</v>
      </c>
      <c r="Y830">
        <f>AND(IF(metadata!E830="",FALSE,TRUE),exact(metadata!E830,"urban biome"))</f>
        <v>0</v>
      </c>
      <c r="Z830">
        <f>AND(IF(metadata!F830="",FALSE,TRUE),exact(metadata!F830,"animal-associated habitat"))</f>
        <v>0</v>
      </c>
      <c r="AA830">
        <f>AND(IF(metadata!G830="",FALSE,TRUE),exact(metadata!G830,"mouse"))</f>
        <v>0</v>
      </c>
      <c r="AB830">
        <f>AND(IF(metadata!H830="",FALSE,TRUE),exact(metadata!H830,"Mus musculus"))</f>
        <v>0</v>
      </c>
      <c r="AC830">
        <f>AND(IF(metadata!I830="",FALSE,TRUE),exact(metadata!I830,"10090"))</f>
        <v>0</v>
      </c>
      <c r="AD830">
        <f>OR(AND(IF(metadata!J830="",FALSE,TRUE),OR(exact(metadata!J830,"not applicable"),exact(metadata!J830,"missing: not collected"),exact(metadata!J830,"missing: not provided"),exact(metadata!J830,"missing: restricted access"))),AND(IF(metadata!J830="",FALSE,ISNUMBER(VALUE(metadata!J830))),metadata!J830&gt;0))</f>
        <v>0</v>
      </c>
      <c r="AE830">
        <f>AND(IF(metadata!K830="",FALSE,TRUE),exact(metadata!K830,"g"))</f>
        <v>0</v>
      </c>
    </row>
    <row r="831" spans="1:31">
      <c r="A831" s="5">
        <f>IF(B831=" "," ",HYPERLINK(CONCATENATE("#metadata!",ADDRESS(INDEX($Q$2:$Q$1001,MATCH(ROWS($O$2:O831),$O$2:$O$1001,0),0),1)),INDEX($T$2:$T$1001,MATCH(ROWS($O$2:O831),$O$2:$O$1001,0),0)))</f>
        <v>0</v>
      </c>
      <c r="B831" s="4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4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4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4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4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4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4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4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4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4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OR(AND(IF(metadata!C831="",FALSE,TRUE),OR(exact(metadata!C831,"not applicable"),exact(metadata!C831,"missing: not collected"),exact(metadata!C831,"missing: not provided"),exact(metadata!C831,"missing: restricted access"))),AND(IF(metadata!C831="",FALSE,ISNUMBER(VALUE(metadata!C831))),metadata!C831&gt;0))</f>
        <v>0</v>
      </c>
      <c r="X831">
        <f>AND(IF(metadata!D831="",FALSE,TRUE),exact(metadata!D831,"weeks"))</f>
        <v>0</v>
      </c>
      <c r="Y831">
        <f>AND(IF(metadata!E831="",FALSE,TRUE),exact(metadata!E831,"urban biome"))</f>
        <v>0</v>
      </c>
      <c r="Z831">
        <f>AND(IF(metadata!F831="",FALSE,TRUE),exact(metadata!F831,"animal-associated habitat"))</f>
        <v>0</v>
      </c>
      <c r="AA831">
        <f>AND(IF(metadata!G831="",FALSE,TRUE),exact(metadata!G831,"mouse"))</f>
        <v>0</v>
      </c>
      <c r="AB831">
        <f>AND(IF(metadata!H831="",FALSE,TRUE),exact(metadata!H831,"Mus musculus"))</f>
        <v>0</v>
      </c>
      <c r="AC831">
        <f>AND(IF(metadata!I831="",FALSE,TRUE),exact(metadata!I831,"10090"))</f>
        <v>0</v>
      </c>
      <c r="AD831">
        <f>OR(AND(IF(metadata!J831="",FALSE,TRUE),OR(exact(metadata!J831,"not applicable"),exact(metadata!J831,"missing: not collected"),exact(metadata!J831,"missing: not provided"),exact(metadata!J831,"missing: restricted access"))),AND(IF(metadata!J831="",FALSE,ISNUMBER(VALUE(metadata!J831))),metadata!J831&gt;0))</f>
        <v>0</v>
      </c>
      <c r="AE831">
        <f>AND(IF(metadata!K831="",FALSE,TRUE),exact(metadata!K831,"g"))</f>
        <v>0</v>
      </c>
    </row>
    <row r="832" spans="1:31">
      <c r="A832" s="5">
        <f>IF(B832=" "," ",HYPERLINK(CONCATENATE("#metadata!",ADDRESS(INDEX($Q$2:$Q$1001,MATCH(ROWS($O$2:O832),$O$2:$O$1001,0),0),1)),INDEX($T$2:$T$1001,MATCH(ROWS($O$2:O832),$O$2:$O$1001,0),0)))</f>
        <v>0</v>
      </c>
      <c r="B832" s="4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4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4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4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4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4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4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4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4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4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OR(AND(IF(metadata!C832="",FALSE,TRUE),OR(exact(metadata!C832,"not applicable"),exact(metadata!C832,"missing: not collected"),exact(metadata!C832,"missing: not provided"),exact(metadata!C832,"missing: restricted access"))),AND(IF(metadata!C832="",FALSE,ISNUMBER(VALUE(metadata!C832))),metadata!C832&gt;0))</f>
        <v>0</v>
      </c>
      <c r="X832">
        <f>AND(IF(metadata!D832="",FALSE,TRUE),exact(metadata!D832,"weeks"))</f>
        <v>0</v>
      </c>
      <c r="Y832">
        <f>AND(IF(metadata!E832="",FALSE,TRUE),exact(metadata!E832,"urban biome"))</f>
        <v>0</v>
      </c>
      <c r="Z832">
        <f>AND(IF(metadata!F832="",FALSE,TRUE),exact(metadata!F832,"animal-associated habitat"))</f>
        <v>0</v>
      </c>
      <c r="AA832">
        <f>AND(IF(metadata!G832="",FALSE,TRUE),exact(metadata!G832,"mouse"))</f>
        <v>0</v>
      </c>
      <c r="AB832">
        <f>AND(IF(metadata!H832="",FALSE,TRUE),exact(metadata!H832,"Mus musculus"))</f>
        <v>0</v>
      </c>
      <c r="AC832">
        <f>AND(IF(metadata!I832="",FALSE,TRUE),exact(metadata!I832,"10090"))</f>
        <v>0</v>
      </c>
      <c r="AD832">
        <f>OR(AND(IF(metadata!J832="",FALSE,TRUE),OR(exact(metadata!J832,"not applicable"),exact(metadata!J832,"missing: not collected"),exact(metadata!J832,"missing: not provided"),exact(metadata!J832,"missing: restricted access"))),AND(IF(metadata!J832="",FALSE,ISNUMBER(VALUE(metadata!J832))),metadata!J832&gt;0))</f>
        <v>0</v>
      </c>
      <c r="AE832">
        <f>AND(IF(metadata!K832="",FALSE,TRUE),exact(metadata!K832,"g"))</f>
        <v>0</v>
      </c>
    </row>
    <row r="833" spans="1:31">
      <c r="A833" s="5">
        <f>IF(B833=" "," ",HYPERLINK(CONCATENATE("#metadata!",ADDRESS(INDEX($Q$2:$Q$1001,MATCH(ROWS($O$2:O833),$O$2:$O$1001,0),0),1)),INDEX($T$2:$T$1001,MATCH(ROWS($O$2:O833),$O$2:$O$1001,0),0)))</f>
        <v>0</v>
      </c>
      <c r="B833" s="4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4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4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4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4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4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4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4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4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4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OR(AND(IF(metadata!C833="",FALSE,TRUE),OR(exact(metadata!C833,"not applicable"),exact(metadata!C833,"missing: not collected"),exact(metadata!C833,"missing: not provided"),exact(metadata!C833,"missing: restricted access"))),AND(IF(metadata!C833="",FALSE,ISNUMBER(VALUE(metadata!C833))),metadata!C833&gt;0))</f>
        <v>0</v>
      </c>
      <c r="X833">
        <f>AND(IF(metadata!D833="",FALSE,TRUE),exact(metadata!D833,"weeks"))</f>
        <v>0</v>
      </c>
      <c r="Y833">
        <f>AND(IF(metadata!E833="",FALSE,TRUE),exact(metadata!E833,"urban biome"))</f>
        <v>0</v>
      </c>
      <c r="Z833">
        <f>AND(IF(metadata!F833="",FALSE,TRUE),exact(metadata!F833,"animal-associated habitat"))</f>
        <v>0</v>
      </c>
      <c r="AA833">
        <f>AND(IF(metadata!G833="",FALSE,TRUE),exact(metadata!G833,"mouse"))</f>
        <v>0</v>
      </c>
      <c r="AB833">
        <f>AND(IF(metadata!H833="",FALSE,TRUE),exact(metadata!H833,"Mus musculus"))</f>
        <v>0</v>
      </c>
      <c r="AC833">
        <f>AND(IF(metadata!I833="",FALSE,TRUE),exact(metadata!I833,"10090"))</f>
        <v>0</v>
      </c>
      <c r="AD833">
        <f>OR(AND(IF(metadata!J833="",FALSE,TRUE),OR(exact(metadata!J833,"not applicable"),exact(metadata!J833,"missing: not collected"),exact(metadata!J833,"missing: not provided"),exact(metadata!J833,"missing: restricted access"))),AND(IF(metadata!J833="",FALSE,ISNUMBER(VALUE(metadata!J833))),metadata!J833&gt;0))</f>
        <v>0</v>
      </c>
      <c r="AE833">
        <f>AND(IF(metadata!K833="",FALSE,TRUE),exact(metadata!K833,"g"))</f>
        <v>0</v>
      </c>
    </row>
    <row r="834" spans="1:31">
      <c r="A834" s="5">
        <f>IF(B834=" "," ",HYPERLINK(CONCATENATE("#metadata!",ADDRESS(INDEX($Q$2:$Q$1001,MATCH(ROWS($O$2:O834),$O$2:$O$1001,0),0),1)),INDEX($T$2:$T$1001,MATCH(ROWS($O$2:O834),$O$2:$O$1001,0),0)))</f>
        <v>0</v>
      </c>
      <c r="B834" s="4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4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4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4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4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4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4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4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4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4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OR(AND(IF(metadata!C834="",FALSE,TRUE),OR(exact(metadata!C834,"not applicable"),exact(metadata!C834,"missing: not collected"),exact(metadata!C834,"missing: not provided"),exact(metadata!C834,"missing: restricted access"))),AND(IF(metadata!C834="",FALSE,ISNUMBER(VALUE(metadata!C834))),metadata!C834&gt;0))</f>
        <v>0</v>
      </c>
      <c r="X834">
        <f>AND(IF(metadata!D834="",FALSE,TRUE),exact(metadata!D834,"weeks"))</f>
        <v>0</v>
      </c>
      <c r="Y834">
        <f>AND(IF(metadata!E834="",FALSE,TRUE),exact(metadata!E834,"urban biome"))</f>
        <v>0</v>
      </c>
      <c r="Z834">
        <f>AND(IF(metadata!F834="",FALSE,TRUE),exact(metadata!F834,"animal-associated habitat"))</f>
        <v>0</v>
      </c>
      <c r="AA834">
        <f>AND(IF(metadata!G834="",FALSE,TRUE),exact(metadata!G834,"mouse"))</f>
        <v>0</v>
      </c>
      <c r="AB834">
        <f>AND(IF(metadata!H834="",FALSE,TRUE),exact(metadata!H834,"Mus musculus"))</f>
        <v>0</v>
      </c>
      <c r="AC834">
        <f>AND(IF(metadata!I834="",FALSE,TRUE),exact(metadata!I834,"10090"))</f>
        <v>0</v>
      </c>
      <c r="AD834">
        <f>OR(AND(IF(metadata!J834="",FALSE,TRUE),OR(exact(metadata!J834,"not applicable"),exact(metadata!J834,"missing: not collected"),exact(metadata!J834,"missing: not provided"),exact(metadata!J834,"missing: restricted access"))),AND(IF(metadata!J834="",FALSE,ISNUMBER(VALUE(metadata!J834))),metadata!J834&gt;0))</f>
        <v>0</v>
      </c>
      <c r="AE834">
        <f>AND(IF(metadata!K834="",FALSE,TRUE),exact(metadata!K834,"g"))</f>
        <v>0</v>
      </c>
    </row>
    <row r="835" spans="1:31">
      <c r="A835" s="5">
        <f>IF(B835=" "," ",HYPERLINK(CONCATENATE("#metadata!",ADDRESS(INDEX($Q$2:$Q$1001,MATCH(ROWS($O$2:O835),$O$2:$O$1001,0),0),1)),INDEX($T$2:$T$1001,MATCH(ROWS($O$2:O835),$O$2:$O$1001,0),0)))</f>
        <v>0</v>
      </c>
      <c r="B835" s="4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4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4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4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4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4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4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4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4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4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OR(AND(IF(metadata!C835="",FALSE,TRUE),OR(exact(metadata!C835,"not applicable"),exact(metadata!C835,"missing: not collected"),exact(metadata!C835,"missing: not provided"),exact(metadata!C835,"missing: restricted access"))),AND(IF(metadata!C835="",FALSE,ISNUMBER(VALUE(metadata!C835))),metadata!C835&gt;0))</f>
        <v>0</v>
      </c>
      <c r="X835">
        <f>AND(IF(metadata!D835="",FALSE,TRUE),exact(metadata!D835,"weeks"))</f>
        <v>0</v>
      </c>
      <c r="Y835">
        <f>AND(IF(metadata!E835="",FALSE,TRUE),exact(metadata!E835,"urban biome"))</f>
        <v>0</v>
      </c>
      <c r="Z835">
        <f>AND(IF(metadata!F835="",FALSE,TRUE),exact(metadata!F835,"animal-associated habitat"))</f>
        <v>0</v>
      </c>
      <c r="AA835">
        <f>AND(IF(metadata!G835="",FALSE,TRUE),exact(metadata!G835,"mouse"))</f>
        <v>0</v>
      </c>
      <c r="AB835">
        <f>AND(IF(metadata!H835="",FALSE,TRUE),exact(metadata!H835,"Mus musculus"))</f>
        <v>0</v>
      </c>
      <c r="AC835">
        <f>AND(IF(metadata!I835="",FALSE,TRUE),exact(metadata!I835,"10090"))</f>
        <v>0</v>
      </c>
      <c r="AD835">
        <f>OR(AND(IF(metadata!J835="",FALSE,TRUE),OR(exact(metadata!J835,"not applicable"),exact(metadata!J835,"missing: not collected"),exact(metadata!J835,"missing: not provided"),exact(metadata!J835,"missing: restricted access"))),AND(IF(metadata!J835="",FALSE,ISNUMBER(VALUE(metadata!J835))),metadata!J835&gt;0))</f>
        <v>0</v>
      </c>
      <c r="AE835">
        <f>AND(IF(metadata!K835="",FALSE,TRUE),exact(metadata!K835,"g"))</f>
        <v>0</v>
      </c>
    </row>
    <row r="836" spans="1:31">
      <c r="A836" s="5">
        <f>IF(B836=" "," ",HYPERLINK(CONCATENATE("#metadata!",ADDRESS(INDEX($Q$2:$Q$1001,MATCH(ROWS($O$2:O836),$O$2:$O$1001,0),0),1)),INDEX($T$2:$T$1001,MATCH(ROWS($O$2:O836),$O$2:$O$1001,0),0)))</f>
        <v>0</v>
      </c>
      <c r="B836" s="4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4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4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4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4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4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4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4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4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4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OR(AND(IF(metadata!C836="",FALSE,TRUE),OR(exact(metadata!C836,"not applicable"),exact(metadata!C836,"missing: not collected"),exact(metadata!C836,"missing: not provided"),exact(metadata!C836,"missing: restricted access"))),AND(IF(metadata!C836="",FALSE,ISNUMBER(VALUE(metadata!C836))),metadata!C836&gt;0))</f>
        <v>0</v>
      </c>
      <c r="X836">
        <f>AND(IF(metadata!D836="",FALSE,TRUE),exact(metadata!D836,"weeks"))</f>
        <v>0</v>
      </c>
      <c r="Y836">
        <f>AND(IF(metadata!E836="",FALSE,TRUE),exact(metadata!E836,"urban biome"))</f>
        <v>0</v>
      </c>
      <c r="Z836">
        <f>AND(IF(metadata!F836="",FALSE,TRUE),exact(metadata!F836,"animal-associated habitat"))</f>
        <v>0</v>
      </c>
      <c r="AA836">
        <f>AND(IF(metadata!G836="",FALSE,TRUE),exact(metadata!G836,"mouse"))</f>
        <v>0</v>
      </c>
      <c r="AB836">
        <f>AND(IF(metadata!H836="",FALSE,TRUE),exact(metadata!H836,"Mus musculus"))</f>
        <v>0</v>
      </c>
      <c r="AC836">
        <f>AND(IF(metadata!I836="",FALSE,TRUE),exact(metadata!I836,"10090"))</f>
        <v>0</v>
      </c>
      <c r="AD836">
        <f>OR(AND(IF(metadata!J836="",FALSE,TRUE),OR(exact(metadata!J836,"not applicable"),exact(metadata!J836,"missing: not collected"),exact(metadata!J836,"missing: not provided"),exact(metadata!J836,"missing: restricted access"))),AND(IF(metadata!J836="",FALSE,ISNUMBER(VALUE(metadata!J836))),metadata!J836&gt;0))</f>
        <v>0</v>
      </c>
      <c r="AE836">
        <f>AND(IF(metadata!K836="",FALSE,TRUE),exact(metadata!K836,"g"))</f>
        <v>0</v>
      </c>
    </row>
    <row r="837" spans="1:31">
      <c r="A837" s="5">
        <f>IF(B837=" "," ",HYPERLINK(CONCATENATE("#metadata!",ADDRESS(INDEX($Q$2:$Q$1001,MATCH(ROWS($O$2:O837),$O$2:$O$1001,0),0),1)),INDEX($T$2:$T$1001,MATCH(ROWS($O$2:O837),$O$2:$O$1001,0),0)))</f>
        <v>0</v>
      </c>
      <c r="B837" s="4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4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4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4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4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4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4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4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4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4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OR(AND(IF(metadata!C837="",FALSE,TRUE),OR(exact(metadata!C837,"not applicable"),exact(metadata!C837,"missing: not collected"),exact(metadata!C837,"missing: not provided"),exact(metadata!C837,"missing: restricted access"))),AND(IF(metadata!C837="",FALSE,ISNUMBER(VALUE(metadata!C837))),metadata!C837&gt;0))</f>
        <v>0</v>
      </c>
      <c r="X837">
        <f>AND(IF(metadata!D837="",FALSE,TRUE),exact(metadata!D837,"weeks"))</f>
        <v>0</v>
      </c>
      <c r="Y837">
        <f>AND(IF(metadata!E837="",FALSE,TRUE),exact(metadata!E837,"urban biome"))</f>
        <v>0</v>
      </c>
      <c r="Z837">
        <f>AND(IF(metadata!F837="",FALSE,TRUE),exact(metadata!F837,"animal-associated habitat"))</f>
        <v>0</v>
      </c>
      <c r="AA837">
        <f>AND(IF(metadata!G837="",FALSE,TRUE),exact(metadata!G837,"mouse"))</f>
        <v>0</v>
      </c>
      <c r="AB837">
        <f>AND(IF(metadata!H837="",FALSE,TRUE),exact(metadata!H837,"Mus musculus"))</f>
        <v>0</v>
      </c>
      <c r="AC837">
        <f>AND(IF(metadata!I837="",FALSE,TRUE),exact(metadata!I837,"10090"))</f>
        <v>0</v>
      </c>
      <c r="AD837">
        <f>OR(AND(IF(metadata!J837="",FALSE,TRUE),OR(exact(metadata!J837,"not applicable"),exact(metadata!J837,"missing: not collected"),exact(metadata!J837,"missing: not provided"),exact(metadata!J837,"missing: restricted access"))),AND(IF(metadata!J837="",FALSE,ISNUMBER(VALUE(metadata!J837))),metadata!J837&gt;0))</f>
        <v>0</v>
      </c>
      <c r="AE837">
        <f>AND(IF(metadata!K837="",FALSE,TRUE),exact(metadata!K837,"g"))</f>
        <v>0</v>
      </c>
    </row>
    <row r="838" spans="1:31">
      <c r="A838" s="5">
        <f>IF(B838=" "," ",HYPERLINK(CONCATENATE("#metadata!",ADDRESS(INDEX($Q$2:$Q$1001,MATCH(ROWS($O$2:O838),$O$2:$O$1001,0),0),1)),INDEX($T$2:$T$1001,MATCH(ROWS($O$2:O838),$O$2:$O$1001,0),0)))</f>
        <v>0</v>
      </c>
      <c r="B838" s="4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4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4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4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4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4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4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4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4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4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OR(AND(IF(metadata!C838="",FALSE,TRUE),OR(exact(metadata!C838,"not applicable"),exact(metadata!C838,"missing: not collected"),exact(metadata!C838,"missing: not provided"),exact(metadata!C838,"missing: restricted access"))),AND(IF(metadata!C838="",FALSE,ISNUMBER(VALUE(metadata!C838))),metadata!C838&gt;0))</f>
        <v>0</v>
      </c>
      <c r="X838">
        <f>AND(IF(metadata!D838="",FALSE,TRUE),exact(metadata!D838,"weeks"))</f>
        <v>0</v>
      </c>
      <c r="Y838">
        <f>AND(IF(metadata!E838="",FALSE,TRUE),exact(metadata!E838,"urban biome"))</f>
        <v>0</v>
      </c>
      <c r="Z838">
        <f>AND(IF(metadata!F838="",FALSE,TRUE),exact(metadata!F838,"animal-associated habitat"))</f>
        <v>0</v>
      </c>
      <c r="AA838">
        <f>AND(IF(metadata!G838="",FALSE,TRUE),exact(metadata!G838,"mouse"))</f>
        <v>0</v>
      </c>
      <c r="AB838">
        <f>AND(IF(metadata!H838="",FALSE,TRUE),exact(metadata!H838,"Mus musculus"))</f>
        <v>0</v>
      </c>
      <c r="AC838">
        <f>AND(IF(metadata!I838="",FALSE,TRUE),exact(metadata!I838,"10090"))</f>
        <v>0</v>
      </c>
      <c r="AD838">
        <f>OR(AND(IF(metadata!J838="",FALSE,TRUE),OR(exact(metadata!J838,"not applicable"),exact(metadata!J838,"missing: not collected"),exact(metadata!J838,"missing: not provided"),exact(metadata!J838,"missing: restricted access"))),AND(IF(metadata!J838="",FALSE,ISNUMBER(VALUE(metadata!J838))),metadata!J838&gt;0))</f>
        <v>0</v>
      </c>
      <c r="AE838">
        <f>AND(IF(metadata!K838="",FALSE,TRUE),exact(metadata!K838,"g"))</f>
        <v>0</v>
      </c>
    </row>
    <row r="839" spans="1:31">
      <c r="A839" s="5">
        <f>IF(B839=" "," ",HYPERLINK(CONCATENATE("#metadata!",ADDRESS(INDEX($Q$2:$Q$1001,MATCH(ROWS($O$2:O839),$O$2:$O$1001,0),0),1)),INDEX($T$2:$T$1001,MATCH(ROWS($O$2:O839),$O$2:$O$1001,0),0)))</f>
        <v>0</v>
      </c>
      <c r="B839" s="4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4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4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4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4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4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4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4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4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4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OR(AND(IF(metadata!C839="",FALSE,TRUE),OR(exact(metadata!C839,"not applicable"),exact(metadata!C839,"missing: not collected"),exact(metadata!C839,"missing: not provided"),exact(metadata!C839,"missing: restricted access"))),AND(IF(metadata!C839="",FALSE,ISNUMBER(VALUE(metadata!C839))),metadata!C839&gt;0))</f>
        <v>0</v>
      </c>
      <c r="X839">
        <f>AND(IF(metadata!D839="",FALSE,TRUE),exact(metadata!D839,"weeks"))</f>
        <v>0</v>
      </c>
      <c r="Y839">
        <f>AND(IF(metadata!E839="",FALSE,TRUE),exact(metadata!E839,"urban biome"))</f>
        <v>0</v>
      </c>
      <c r="Z839">
        <f>AND(IF(metadata!F839="",FALSE,TRUE),exact(metadata!F839,"animal-associated habitat"))</f>
        <v>0</v>
      </c>
      <c r="AA839">
        <f>AND(IF(metadata!G839="",FALSE,TRUE),exact(metadata!G839,"mouse"))</f>
        <v>0</v>
      </c>
      <c r="AB839">
        <f>AND(IF(metadata!H839="",FALSE,TRUE),exact(metadata!H839,"Mus musculus"))</f>
        <v>0</v>
      </c>
      <c r="AC839">
        <f>AND(IF(metadata!I839="",FALSE,TRUE),exact(metadata!I839,"10090"))</f>
        <v>0</v>
      </c>
      <c r="AD839">
        <f>OR(AND(IF(metadata!J839="",FALSE,TRUE),OR(exact(metadata!J839,"not applicable"),exact(metadata!J839,"missing: not collected"),exact(metadata!J839,"missing: not provided"),exact(metadata!J839,"missing: restricted access"))),AND(IF(metadata!J839="",FALSE,ISNUMBER(VALUE(metadata!J839))),metadata!J839&gt;0))</f>
        <v>0</v>
      </c>
      <c r="AE839">
        <f>AND(IF(metadata!K839="",FALSE,TRUE),exact(metadata!K839,"g"))</f>
        <v>0</v>
      </c>
    </row>
    <row r="840" spans="1:31">
      <c r="A840" s="5">
        <f>IF(B840=" "," ",HYPERLINK(CONCATENATE("#metadata!",ADDRESS(INDEX($Q$2:$Q$1001,MATCH(ROWS($O$2:O840),$O$2:$O$1001,0),0),1)),INDEX($T$2:$T$1001,MATCH(ROWS($O$2:O840),$O$2:$O$1001,0),0)))</f>
        <v>0</v>
      </c>
      <c r="B840" s="4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4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4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4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4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4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4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4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4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4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OR(AND(IF(metadata!C840="",FALSE,TRUE),OR(exact(metadata!C840,"not applicable"),exact(metadata!C840,"missing: not collected"),exact(metadata!C840,"missing: not provided"),exact(metadata!C840,"missing: restricted access"))),AND(IF(metadata!C840="",FALSE,ISNUMBER(VALUE(metadata!C840))),metadata!C840&gt;0))</f>
        <v>0</v>
      </c>
      <c r="X840">
        <f>AND(IF(metadata!D840="",FALSE,TRUE),exact(metadata!D840,"weeks"))</f>
        <v>0</v>
      </c>
      <c r="Y840">
        <f>AND(IF(metadata!E840="",FALSE,TRUE),exact(metadata!E840,"urban biome"))</f>
        <v>0</v>
      </c>
      <c r="Z840">
        <f>AND(IF(metadata!F840="",FALSE,TRUE),exact(metadata!F840,"animal-associated habitat"))</f>
        <v>0</v>
      </c>
      <c r="AA840">
        <f>AND(IF(metadata!G840="",FALSE,TRUE),exact(metadata!G840,"mouse"))</f>
        <v>0</v>
      </c>
      <c r="AB840">
        <f>AND(IF(metadata!H840="",FALSE,TRUE),exact(metadata!H840,"Mus musculus"))</f>
        <v>0</v>
      </c>
      <c r="AC840">
        <f>AND(IF(metadata!I840="",FALSE,TRUE),exact(metadata!I840,"10090"))</f>
        <v>0</v>
      </c>
      <c r="AD840">
        <f>OR(AND(IF(metadata!J840="",FALSE,TRUE),OR(exact(metadata!J840,"not applicable"),exact(metadata!J840,"missing: not collected"),exact(metadata!J840,"missing: not provided"),exact(metadata!J840,"missing: restricted access"))),AND(IF(metadata!J840="",FALSE,ISNUMBER(VALUE(metadata!J840))),metadata!J840&gt;0))</f>
        <v>0</v>
      </c>
      <c r="AE840">
        <f>AND(IF(metadata!K840="",FALSE,TRUE),exact(metadata!K840,"g"))</f>
        <v>0</v>
      </c>
    </row>
    <row r="841" spans="1:31">
      <c r="A841" s="5">
        <f>IF(B841=" "," ",HYPERLINK(CONCATENATE("#metadata!",ADDRESS(INDEX($Q$2:$Q$1001,MATCH(ROWS($O$2:O841),$O$2:$O$1001,0),0),1)),INDEX($T$2:$T$1001,MATCH(ROWS($O$2:O841),$O$2:$O$1001,0),0)))</f>
        <v>0</v>
      </c>
      <c r="B841" s="4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4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4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4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4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4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4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4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4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4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OR(AND(IF(metadata!C841="",FALSE,TRUE),OR(exact(metadata!C841,"not applicable"),exact(metadata!C841,"missing: not collected"),exact(metadata!C841,"missing: not provided"),exact(metadata!C841,"missing: restricted access"))),AND(IF(metadata!C841="",FALSE,ISNUMBER(VALUE(metadata!C841))),metadata!C841&gt;0))</f>
        <v>0</v>
      </c>
      <c r="X841">
        <f>AND(IF(metadata!D841="",FALSE,TRUE),exact(metadata!D841,"weeks"))</f>
        <v>0</v>
      </c>
      <c r="Y841">
        <f>AND(IF(metadata!E841="",FALSE,TRUE),exact(metadata!E841,"urban biome"))</f>
        <v>0</v>
      </c>
      <c r="Z841">
        <f>AND(IF(metadata!F841="",FALSE,TRUE),exact(metadata!F841,"animal-associated habitat"))</f>
        <v>0</v>
      </c>
      <c r="AA841">
        <f>AND(IF(metadata!G841="",FALSE,TRUE),exact(metadata!G841,"mouse"))</f>
        <v>0</v>
      </c>
      <c r="AB841">
        <f>AND(IF(metadata!H841="",FALSE,TRUE),exact(metadata!H841,"Mus musculus"))</f>
        <v>0</v>
      </c>
      <c r="AC841">
        <f>AND(IF(metadata!I841="",FALSE,TRUE),exact(metadata!I841,"10090"))</f>
        <v>0</v>
      </c>
      <c r="AD841">
        <f>OR(AND(IF(metadata!J841="",FALSE,TRUE),OR(exact(metadata!J841,"not applicable"),exact(metadata!J841,"missing: not collected"),exact(metadata!J841,"missing: not provided"),exact(metadata!J841,"missing: restricted access"))),AND(IF(metadata!J841="",FALSE,ISNUMBER(VALUE(metadata!J841))),metadata!J841&gt;0))</f>
        <v>0</v>
      </c>
      <c r="AE841">
        <f>AND(IF(metadata!K841="",FALSE,TRUE),exact(metadata!K841,"g"))</f>
        <v>0</v>
      </c>
    </row>
    <row r="842" spans="1:31">
      <c r="A842" s="5">
        <f>IF(B842=" "," ",HYPERLINK(CONCATENATE("#metadata!",ADDRESS(INDEX($Q$2:$Q$1001,MATCH(ROWS($O$2:O842),$O$2:$O$1001,0),0),1)),INDEX($T$2:$T$1001,MATCH(ROWS($O$2:O842),$O$2:$O$1001,0),0)))</f>
        <v>0</v>
      </c>
      <c r="B842" s="4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4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4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4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4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4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4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4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4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4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OR(AND(IF(metadata!C842="",FALSE,TRUE),OR(exact(metadata!C842,"not applicable"),exact(metadata!C842,"missing: not collected"),exact(metadata!C842,"missing: not provided"),exact(metadata!C842,"missing: restricted access"))),AND(IF(metadata!C842="",FALSE,ISNUMBER(VALUE(metadata!C842))),metadata!C842&gt;0))</f>
        <v>0</v>
      </c>
      <c r="X842">
        <f>AND(IF(metadata!D842="",FALSE,TRUE),exact(metadata!D842,"weeks"))</f>
        <v>0</v>
      </c>
      <c r="Y842">
        <f>AND(IF(metadata!E842="",FALSE,TRUE),exact(metadata!E842,"urban biome"))</f>
        <v>0</v>
      </c>
      <c r="Z842">
        <f>AND(IF(metadata!F842="",FALSE,TRUE),exact(metadata!F842,"animal-associated habitat"))</f>
        <v>0</v>
      </c>
      <c r="AA842">
        <f>AND(IF(metadata!G842="",FALSE,TRUE),exact(metadata!G842,"mouse"))</f>
        <v>0</v>
      </c>
      <c r="AB842">
        <f>AND(IF(metadata!H842="",FALSE,TRUE),exact(metadata!H842,"Mus musculus"))</f>
        <v>0</v>
      </c>
      <c r="AC842">
        <f>AND(IF(metadata!I842="",FALSE,TRUE),exact(metadata!I842,"10090"))</f>
        <v>0</v>
      </c>
      <c r="AD842">
        <f>OR(AND(IF(metadata!J842="",FALSE,TRUE),OR(exact(metadata!J842,"not applicable"),exact(metadata!J842,"missing: not collected"),exact(metadata!J842,"missing: not provided"),exact(metadata!J842,"missing: restricted access"))),AND(IF(metadata!J842="",FALSE,ISNUMBER(VALUE(metadata!J842))),metadata!J842&gt;0))</f>
        <v>0</v>
      </c>
      <c r="AE842">
        <f>AND(IF(metadata!K842="",FALSE,TRUE),exact(metadata!K842,"g"))</f>
        <v>0</v>
      </c>
    </row>
    <row r="843" spans="1:31">
      <c r="A843" s="5">
        <f>IF(B843=" "," ",HYPERLINK(CONCATENATE("#metadata!",ADDRESS(INDEX($Q$2:$Q$1001,MATCH(ROWS($O$2:O843),$O$2:$O$1001,0),0),1)),INDEX($T$2:$T$1001,MATCH(ROWS($O$2:O843),$O$2:$O$1001,0),0)))</f>
        <v>0</v>
      </c>
      <c r="B843" s="4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4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4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4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4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4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4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4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4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4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OR(AND(IF(metadata!C843="",FALSE,TRUE),OR(exact(metadata!C843,"not applicable"),exact(metadata!C843,"missing: not collected"),exact(metadata!C843,"missing: not provided"),exact(metadata!C843,"missing: restricted access"))),AND(IF(metadata!C843="",FALSE,ISNUMBER(VALUE(metadata!C843))),metadata!C843&gt;0))</f>
        <v>0</v>
      </c>
      <c r="X843">
        <f>AND(IF(metadata!D843="",FALSE,TRUE),exact(metadata!D843,"weeks"))</f>
        <v>0</v>
      </c>
      <c r="Y843">
        <f>AND(IF(metadata!E843="",FALSE,TRUE),exact(metadata!E843,"urban biome"))</f>
        <v>0</v>
      </c>
      <c r="Z843">
        <f>AND(IF(metadata!F843="",FALSE,TRUE),exact(metadata!F843,"animal-associated habitat"))</f>
        <v>0</v>
      </c>
      <c r="AA843">
        <f>AND(IF(metadata!G843="",FALSE,TRUE),exact(metadata!G843,"mouse"))</f>
        <v>0</v>
      </c>
      <c r="AB843">
        <f>AND(IF(metadata!H843="",FALSE,TRUE),exact(metadata!H843,"Mus musculus"))</f>
        <v>0</v>
      </c>
      <c r="AC843">
        <f>AND(IF(metadata!I843="",FALSE,TRUE),exact(metadata!I843,"10090"))</f>
        <v>0</v>
      </c>
      <c r="AD843">
        <f>OR(AND(IF(metadata!J843="",FALSE,TRUE),OR(exact(metadata!J843,"not applicable"),exact(metadata!J843,"missing: not collected"),exact(metadata!J843,"missing: not provided"),exact(metadata!J843,"missing: restricted access"))),AND(IF(metadata!J843="",FALSE,ISNUMBER(VALUE(metadata!J843))),metadata!J843&gt;0))</f>
        <v>0</v>
      </c>
      <c r="AE843">
        <f>AND(IF(metadata!K843="",FALSE,TRUE),exact(metadata!K843,"g"))</f>
        <v>0</v>
      </c>
    </row>
    <row r="844" spans="1:31">
      <c r="A844" s="5">
        <f>IF(B844=" "," ",HYPERLINK(CONCATENATE("#metadata!",ADDRESS(INDEX($Q$2:$Q$1001,MATCH(ROWS($O$2:O844),$O$2:$O$1001,0),0),1)),INDEX($T$2:$T$1001,MATCH(ROWS($O$2:O844),$O$2:$O$1001,0),0)))</f>
        <v>0</v>
      </c>
      <c r="B844" s="4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4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4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4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4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4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4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4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4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4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OR(AND(IF(metadata!C844="",FALSE,TRUE),OR(exact(metadata!C844,"not applicable"),exact(metadata!C844,"missing: not collected"),exact(metadata!C844,"missing: not provided"),exact(metadata!C844,"missing: restricted access"))),AND(IF(metadata!C844="",FALSE,ISNUMBER(VALUE(metadata!C844))),metadata!C844&gt;0))</f>
        <v>0</v>
      </c>
      <c r="X844">
        <f>AND(IF(metadata!D844="",FALSE,TRUE),exact(metadata!D844,"weeks"))</f>
        <v>0</v>
      </c>
      <c r="Y844">
        <f>AND(IF(metadata!E844="",FALSE,TRUE),exact(metadata!E844,"urban biome"))</f>
        <v>0</v>
      </c>
      <c r="Z844">
        <f>AND(IF(metadata!F844="",FALSE,TRUE),exact(metadata!F844,"animal-associated habitat"))</f>
        <v>0</v>
      </c>
      <c r="AA844">
        <f>AND(IF(metadata!G844="",FALSE,TRUE),exact(metadata!G844,"mouse"))</f>
        <v>0</v>
      </c>
      <c r="AB844">
        <f>AND(IF(metadata!H844="",FALSE,TRUE),exact(metadata!H844,"Mus musculus"))</f>
        <v>0</v>
      </c>
      <c r="AC844">
        <f>AND(IF(metadata!I844="",FALSE,TRUE),exact(metadata!I844,"10090"))</f>
        <v>0</v>
      </c>
      <c r="AD844">
        <f>OR(AND(IF(metadata!J844="",FALSE,TRUE),OR(exact(metadata!J844,"not applicable"),exact(metadata!J844,"missing: not collected"),exact(metadata!J844,"missing: not provided"),exact(metadata!J844,"missing: restricted access"))),AND(IF(metadata!J844="",FALSE,ISNUMBER(VALUE(metadata!J844))),metadata!J844&gt;0))</f>
        <v>0</v>
      </c>
      <c r="AE844">
        <f>AND(IF(metadata!K844="",FALSE,TRUE),exact(metadata!K844,"g"))</f>
        <v>0</v>
      </c>
    </row>
    <row r="845" spans="1:31">
      <c r="A845" s="5">
        <f>IF(B845=" "," ",HYPERLINK(CONCATENATE("#metadata!",ADDRESS(INDEX($Q$2:$Q$1001,MATCH(ROWS($O$2:O845),$O$2:$O$1001,0),0),1)),INDEX($T$2:$T$1001,MATCH(ROWS($O$2:O845),$O$2:$O$1001,0),0)))</f>
        <v>0</v>
      </c>
      <c r="B845" s="4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4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4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4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4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4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4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4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4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4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OR(AND(IF(metadata!C845="",FALSE,TRUE),OR(exact(metadata!C845,"not applicable"),exact(metadata!C845,"missing: not collected"),exact(metadata!C845,"missing: not provided"),exact(metadata!C845,"missing: restricted access"))),AND(IF(metadata!C845="",FALSE,ISNUMBER(VALUE(metadata!C845))),metadata!C845&gt;0))</f>
        <v>0</v>
      </c>
      <c r="X845">
        <f>AND(IF(metadata!D845="",FALSE,TRUE),exact(metadata!D845,"weeks"))</f>
        <v>0</v>
      </c>
      <c r="Y845">
        <f>AND(IF(metadata!E845="",FALSE,TRUE),exact(metadata!E845,"urban biome"))</f>
        <v>0</v>
      </c>
      <c r="Z845">
        <f>AND(IF(metadata!F845="",FALSE,TRUE),exact(metadata!F845,"animal-associated habitat"))</f>
        <v>0</v>
      </c>
      <c r="AA845">
        <f>AND(IF(metadata!G845="",FALSE,TRUE),exact(metadata!G845,"mouse"))</f>
        <v>0</v>
      </c>
      <c r="AB845">
        <f>AND(IF(metadata!H845="",FALSE,TRUE),exact(metadata!H845,"Mus musculus"))</f>
        <v>0</v>
      </c>
      <c r="AC845">
        <f>AND(IF(metadata!I845="",FALSE,TRUE),exact(metadata!I845,"10090"))</f>
        <v>0</v>
      </c>
      <c r="AD845">
        <f>OR(AND(IF(metadata!J845="",FALSE,TRUE),OR(exact(metadata!J845,"not applicable"),exact(metadata!J845,"missing: not collected"),exact(metadata!J845,"missing: not provided"),exact(metadata!J845,"missing: restricted access"))),AND(IF(metadata!J845="",FALSE,ISNUMBER(VALUE(metadata!J845))),metadata!J845&gt;0))</f>
        <v>0</v>
      </c>
      <c r="AE845">
        <f>AND(IF(metadata!K845="",FALSE,TRUE),exact(metadata!K845,"g"))</f>
        <v>0</v>
      </c>
    </row>
    <row r="846" spans="1:31">
      <c r="A846" s="5">
        <f>IF(B846=" "," ",HYPERLINK(CONCATENATE("#metadata!",ADDRESS(INDEX($Q$2:$Q$1001,MATCH(ROWS($O$2:O846),$O$2:$O$1001,0),0),1)),INDEX($T$2:$T$1001,MATCH(ROWS($O$2:O846),$O$2:$O$1001,0),0)))</f>
        <v>0</v>
      </c>
      <c r="B846" s="4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4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4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4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4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4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4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4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4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4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OR(AND(IF(metadata!C846="",FALSE,TRUE),OR(exact(metadata!C846,"not applicable"),exact(metadata!C846,"missing: not collected"),exact(metadata!C846,"missing: not provided"),exact(metadata!C846,"missing: restricted access"))),AND(IF(metadata!C846="",FALSE,ISNUMBER(VALUE(metadata!C846))),metadata!C846&gt;0))</f>
        <v>0</v>
      </c>
      <c r="X846">
        <f>AND(IF(metadata!D846="",FALSE,TRUE),exact(metadata!D846,"weeks"))</f>
        <v>0</v>
      </c>
      <c r="Y846">
        <f>AND(IF(metadata!E846="",FALSE,TRUE),exact(metadata!E846,"urban biome"))</f>
        <v>0</v>
      </c>
      <c r="Z846">
        <f>AND(IF(metadata!F846="",FALSE,TRUE),exact(metadata!F846,"animal-associated habitat"))</f>
        <v>0</v>
      </c>
      <c r="AA846">
        <f>AND(IF(metadata!G846="",FALSE,TRUE),exact(metadata!G846,"mouse"))</f>
        <v>0</v>
      </c>
      <c r="AB846">
        <f>AND(IF(metadata!H846="",FALSE,TRUE),exact(metadata!H846,"Mus musculus"))</f>
        <v>0</v>
      </c>
      <c r="AC846">
        <f>AND(IF(metadata!I846="",FALSE,TRUE),exact(metadata!I846,"10090"))</f>
        <v>0</v>
      </c>
      <c r="AD846">
        <f>OR(AND(IF(metadata!J846="",FALSE,TRUE),OR(exact(metadata!J846,"not applicable"),exact(metadata!J846,"missing: not collected"),exact(metadata!J846,"missing: not provided"),exact(metadata!J846,"missing: restricted access"))),AND(IF(metadata!J846="",FALSE,ISNUMBER(VALUE(metadata!J846))),metadata!J846&gt;0))</f>
        <v>0</v>
      </c>
      <c r="AE846">
        <f>AND(IF(metadata!K846="",FALSE,TRUE),exact(metadata!K846,"g"))</f>
        <v>0</v>
      </c>
    </row>
    <row r="847" spans="1:31">
      <c r="A847" s="5">
        <f>IF(B847=" "," ",HYPERLINK(CONCATENATE("#metadata!",ADDRESS(INDEX($Q$2:$Q$1001,MATCH(ROWS($O$2:O847),$O$2:$O$1001,0),0),1)),INDEX($T$2:$T$1001,MATCH(ROWS($O$2:O847),$O$2:$O$1001,0),0)))</f>
        <v>0</v>
      </c>
      <c r="B847" s="4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4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4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4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4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4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4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4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4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4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OR(AND(IF(metadata!C847="",FALSE,TRUE),OR(exact(metadata!C847,"not applicable"),exact(metadata!C847,"missing: not collected"),exact(metadata!C847,"missing: not provided"),exact(metadata!C847,"missing: restricted access"))),AND(IF(metadata!C847="",FALSE,ISNUMBER(VALUE(metadata!C847))),metadata!C847&gt;0))</f>
        <v>0</v>
      </c>
      <c r="X847">
        <f>AND(IF(metadata!D847="",FALSE,TRUE),exact(metadata!D847,"weeks"))</f>
        <v>0</v>
      </c>
      <c r="Y847">
        <f>AND(IF(metadata!E847="",FALSE,TRUE),exact(metadata!E847,"urban biome"))</f>
        <v>0</v>
      </c>
      <c r="Z847">
        <f>AND(IF(metadata!F847="",FALSE,TRUE),exact(metadata!F847,"animal-associated habitat"))</f>
        <v>0</v>
      </c>
      <c r="AA847">
        <f>AND(IF(metadata!G847="",FALSE,TRUE),exact(metadata!G847,"mouse"))</f>
        <v>0</v>
      </c>
      <c r="AB847">
        <f>AND(IF(metadata!H847="",FALSE,TRUE),exact(metadata!H847,"Mus musculus"))</f>
        <v>0</v>
      </c>
      <c r="AC847">
        <f>AND(IF(metadata!I847="",FALSE,TRUE),exact(metadata!I847,"10090"))</f>
        <v>0</v>
      </c>
      <c r="AD847">
        <f>OR(AND(IF(metadata!J847="",FALSE,TRUE),OR(exact(metadata!J847,"not applicable"),exact(metadata!J847,"missing: not collected"),exact(metadata!J847,"missing: not provided"),exact(metadata!J847,"missing: restricted access"))),AND(IF(metadata!J847="",FALSE,ISNUMBER(VALUE(metadata!J847))),metadata!J847&gt;0))</f>
        <v>0</v>
      </c>
      <c r="AE847">
        <f>AND(IF(metadata!K847="",FALSE,TRUE),exact(metadata!K847,"g"))</f>
        <v>0</v>
      </c>
    </row>
    <row r="848" spans="1:31">
      <c r="A848" s="5">
        <f>IF(B848=" "," ",HYPERLINK(CONCATENATE("#metadata!",ADDRESS(INDEX($Q$2:$Q$1001,MATCH(ROWS($O$2:O848),$O$2:$O$1001,0),0),1)),INDEX($T$2:$T$1001,MATCH(ROWS($O$2:O848),$O$2:$O$1001,0),0)))</f>
        <v>0</v>
      </c>
      <c r="B848" s="4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4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4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4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4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4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4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4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4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4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OR(AND(IF(metadata!C848="",FALSE,TRUE),OR(exact(metadata!C848,"not applicable"),exact(metadata!C848,"missing: not collected"),exact(metadata!C848,"missing: not provided"),exact(metadata!C848,"missing: restricted access"))),AND(IF(metadata!C848="",FALSE,ISNUMBER(VALUE(metadata!C848))),metadata!C848&gt;0))</f>
        <v>0</v>
      </c>
      <c r="X848">
        <f>AND(IF(metadata!D848="",FALSE,TRUE),exact(metadata!D848,"weeks"))</f>
        <v>0</v>
      </c>
      <c r="Y848">
        <f>AND(IF(metadata!E848="",FALSE,TRUE),exact(metadata!E848,"urban biome"))</f>
        <v>0</v>
      </c>
      <c r="Z848">
        <f>AND(IF(metadata!F848="",FALSE,TRUE),exact(metadata!F848,"animal-associated habitat"))</f>
        <v>0</v>
      </c>
      <c r="AA848">
        <f>AND(IF(metadata!G848="",FALSE,TRUE),exact(metadata!G848,"mouse"))</f>
        <v>0</v>
      </c>
      <c r="AB848">
        <f>AND(IF(metadata!H848="",FALSE,TRUE),exact(metadata!H848,"Mus musculus"))</f>
        <v>0</v>
      </c>
      <c r="AC848">
        <f>AND(IF(metadata!I848="",FALSE,TRUE),exact(metadata!I848,"10090"))</f>
        <v>0</v>
      </c>
      <c r="AD848">
        <f>OR(AND(IF(metadata!J848="",FALSE,TRUE),OR(exact(metadata!J848,"not applicable"),exact(metadata!J848,"missing: not collected"),exact(metadata!J848,"missing: not provided"),exact(metadata!J848,"missing: restricted access"))),AND(IF(metadata!J848="",FALSE,ISNUMBER(VALUE(metadata!J848))),metadata!J848&gt;0))</f>
        <v>0</v>
      </c>
      <c r="AE848">
        <f>AND(IF(metadata!K848="",FALSE,TRUE),exact(metadata!K848,"g"))</f>
        <v>0</v>
      </c>
    </row>
    <row r="849" spans="1:31">
      <c r="A849" s="5">
        <f>IF(B849=" "," ",HYPERLINK(CONCATENATE("#metadata!",ADDRESS(INDEX($Q$2:$Q$1001,MATCH(ROWS($O$2:O849),$O$2:$O$1001,0),0),1)),INDEX($T$2:$T$1001,MATCH(ROWS($O$2:O849),$O$2:$O$1001,0),0)))</f>
        <v>0</v>
      </c>
      <c r="B849" s="4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4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4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4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4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4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4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4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4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4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OR(AND(IF(metadata!C849="",FALSE,TRUE),OR(exact(metadata!C849,"not applicable"),exact(metadata!C849,"missing: not collected"),exact(metadata!C849,"missing: not provided"),exact(metadata!C849,"missing: restricted access"))),AND(IF(metadata!C849="",FALSE,ISNUMBER(VALUE(metadata!C849))),metadata!C849&gt;0))</f>
        <v>0</v>
      </c>
      <c r="X849">
        <f>AND(IF(metadata!D849="",FALSE,TRUE),exact(metadata!D849,"weeks"))</f>
        <v>0</v>
      </c>
      <c r="Y849">
        <f>AND(IF(metadata!E849="",FALSE,TRUE),exact(metadata!E849,"urban biome"))</f>
        <v>0</v>
      </c>
      <c r="Z849">
        <f>AND(IF(metadata!F849="",FALSE,TRUE),exact(metadata!F849,"animal-associated habitat"))</f>
        <v>0</v>
      </c>
      <c r="AA849">
        <f>AND(IF(metadata!G849="",FALSE,TRUE),exact(metadata!G849,"mouse"))</f>
        <v>0</v>
      </c>
      <c r="AB849">
        <f>AND(IF(metadata!H849="",FALSE,TRUE),exact(metadata!H849,"Mus musculus"))</f>
        <v>0</v>
      </c>
      <c r="AC849">
        <f>AND(IF(metadata!I849="",FALSE,TRUE),exact(metadata!I849,"10090"))</f>
        <v>0</v>
      </c>
      <c r="AD849">
        <f>OR(AND(IF(metadata!J849="",FALSE,TRUE),OR(exact(metadata!J849,"not applicable"),exact(metadata!J849,"missing: not collected"),exact(metadata!J849,"missing: not provided"),exact(metadata!J849,"missing: restricted access"))),AND(IF(metadata!J849="",FALSE,ISNUMBER(VALUE(metadata!J849))),metadata!J849&gt;0))</f>
        <v>0</v>
      </c>
      <c r="AE849">
        <f>AND(IF(metadata!K849="",FALSE,TRUE),exact(metadata!K849,"g"))</f>
        <v>0</v>
      </c>
    </row>
    <row r="850" spans="1:31">
      <c r="A850" s="5">
        <f>IF(B850=" "," ",HYPERLINK(CONCATENATE("#metadata!",ADDRESS(INDEX($Q$2:$Q$1001,MATCH(ROWS($O$2:O850),$O$2:$O$1001,0),0),1)),INDEX($T$2:$T$1001,MATCH(ROWS($O$2:O850),$O$2:$O$1001,0),0)))</f>
        <v>0</v>
      </c>
      <c r="B850" s="4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4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4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4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4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4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4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4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4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4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OR(AND(IF(metadata!C850="",FALSE,TRUE),OR(exact(metadata!C850,"not applicable"),exact(metadata!C850,"missing: not collected"),exact(metadata!C850,"missing: not provided"),exact(metadata!C850,"missing: restricted access"))),AND(IF(metadata!C850="",FALSE,ISNUMBER(VALUE(metadata!C850))),metadata!C850&gt;0))</f>
        <v>0</v>
      </c>
      <c r="X850">
        <f>AND(IF(metadata!D850="",FALSE,TRUE),exact(metadata!D850,"weeks"))</f>
        <v>0</v>
      </c>
      <c r="Y850">
        <f>AND(IF(metadata!E850="",FALSE,TRUE),exact(metadata!E850,"urban biome"))</f>
        <v>0</v>
      </c>
      <c r="Z850">
        <f>AND(IF(metadata!F850="",FALSE,TRUE),exact(metadata!F850,"animal-associated habitat"))</f>
        <v>0</v>
      </c>
      <c r="AA850">
        <f>AND(IF(metadata!G850="",FALSE,TRUE),exact(metadata!G850,"mouse"))</f>
        <v>0</v>
      </c>
      <c r="AB850">
        <f>AND(IF(metadata!H850="",FALSE,TRUE),exact(metadata!H850,"Mus musculus"))</f>
        <v>0</v>
      </c>
      <c r="AC850">
        <f>AND(IF(metadata!I850="",FALSE,TRUE),exact(metadata!I850,"10090"))</f>
        <v>0</v>
      </c>
      <c r="AD850">
        <f>OR(AND(IF(metadata!J850="",FALSE,TRUE),OR(exact(metadata!J850,"not applicable"),exact(metadata!J850,"missing: not collected"),exact(metadata!J850,"missing: not provided"),exact(metadata!J850,"missing: restricted access"))),AND(IF(metadata!J850="",FALSE,ISNUMBER(VALUE(metadata!J850))),metadata!J850&gt;0))</f>
        <v>0</v>
      </c>
      <c r="AE850">
        <f>AND(IF(metadata!K850="",FALSE,TRUE),exact(metadata!K850,"g"))</f>
        <v>0</v>
      </c>
    </row>
    <row r="851" spans="1:31">
      <c r="A851" s="5">
        <f>IF(B851=" "," ",HYPERLINK(CONCATENATE("#metadata!",ADDRESS(INDEX($Q$2:$Q$1001,MATCH(ROWS($O$2:O851),$O$2:$O$1001,0),0),1)),INDEX($T$2:$T$1001,MATCH(ROWS($O$2:O851),$O$2:$O$1001,0),0)))</f>
        <v>0</v>
      </c>
      <c r="B851" s="4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4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4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4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4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4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4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4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4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4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OR(AND(IF(metadata!C851="",FALSE,TRUE),OR(exact(metadata!C851,"not applicable"),exact(metadata!C851,"missing: not collected"),exact(metadata!C851,"missing: not provided"),exact(metadata!C851,"missing: restricted access"))),AND(IF(metadata!C851="",FALSE,ISNUMBER(VALUE(metadata!C851))),metadata!C851&gt;0))</f>
        <v>0</v>
      </c>
      <c r="X851">
        <f>AND(IF(metadata!D851="",FALSE,TRUE),exact(metadata!D851,"weeks"))</f>
        <v>0</v>
      </c>
      <c r="Y851">
        <f>AND(IF(metadata!E851="",FALSE,TRUE),exact(metadata!E851,"urban biome"))</f>
        <v>0</v>
      </c>
      <c r="Z851">
        <f>AND(IF(metadata!F851="",FALSE,TRUE),exact(metadata!F851,"animal-associated habitat"))</f>
        <v>0</v>
      </c>
      <c r="AA851">
        <f>AND(IF(metadata!G851="",FALSE,TRUE),exact(metadata!G851,"mouse"))</f>
        <v>0</v>
      </c>
      <c r="AB851">
        <f>AND(IF(metadata!H851="",FALSE,TRUE),exact(metadata!H851,"Mus musculus"))</f>
        <v>0</v>
      </c>
      <c r="AC851">
        <f>AND(IF(metadata!I851="",FALSE,TRUE),exact(metadata!I851,"10090"))</f>
        <v>0</v>
      </c>
      <c r="AD851">
        <f>OR(AND(IF(metadata!J851="",FALSE,TRUE),OR(exact(metadata!J851,"not applicable"),exact(metadata!J851,"missing: not collected"),exact(metadata!J851,"missing: not provided"),exact(metadata!J851,"missing: restricted access"))),AND(IF(metadata!J851="",FALSE,ISNUMBER(VALUE(metadata!J851))),metadata!J851&gt;0))</f>
        <v>0</v>
      </c>
      <c r="AE851">
        <f>AND(IF(metadata!K851="",FALSE,TRUE),exact(metadata!K851,"g"))</f>
        <v>0</v>
      </c>
    </row>
    <row r="852" spans="1:31">
      <c r="A852" s="5">
        <f>IF(B852=" "," ",HYPERLINK(CONCATENATE("#metadata!",ADDRESS(INDEX($Q$2:$Q$1001,MATCH(ROWS($O$2:O852),$O$2:$O$1001,0),0),1)),INDEX($T$2:$T$1001,MATCH(ROWS($O$2:O852),$O$2:$O$1001,0),0)))</f>
        <v>0</v>
      </c>
      <c r="B852" s="4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4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4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4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4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4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4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4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4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4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OR(AND(IF(metadata!C852="",FALSE,TRUE),OR(exact(metadata!C852,"not applicable"),exact(metadata!C852,"missing: not collected"),exact(metadata!C852,"missing: not provided"),exact(metadata!C852,"missing: restricted access"))),AND(IF(metadata!C852="",FALSE,ISNUMBER(VALUE(metadata!C852))),metadata!C852&gt;0))</f>
        <v>0</v>
      </c>
      <c r="X852">
        <f>AND(IF(metadata!D852="",FALSE,TRUE),exact(metadata!D852,"weeks"))</f>
        <v>0</v>
      </c>
      <c r="Y852">
        <f>AND(IF(metadata!E852="",FALSE,TRUE),exact(metadata!E852,"urban biome"))</f>
        <v>0</v>
      </c>
      <c r="Z852">
        <f>AND(IF(metadata!F852="",FALSE,TRUE),exact(metadata!F852,"animal-associated habitat"))</f>
        <v>0</v>
      </c>
      <c r="AA852">
        <f>AND(IF(metadata!G852="",FALSE,TRUE),exact(metadata!G852,"mouse"))</f>
        <v>0</v>
      </c>
      <c r="AB852">
        <f>AND(IF(metadata!H852="",FALSE,TRUE),exact(metadata!H852,"Mus musculus"))</f>
        <v>0</v>
      </c>
      <c r="AC852">
        <f>AND(IF(metadata!I852="",FALSE,TRUE),exact(metadata!I852,"10090"))</f>
        <v>0</v>
      </c>
      <c r="AD852">
        <f>OR(AND(IF(metadata!J852="",FALSE,TRUE),OR(exact(metadata!J852,"not applicable"),exact(metadata!J852,"missing: not collected"),exact(metadata!J852,"missing: not provided"),exact(metadata!J852,"missing: restricted access"))),AND(IF(metadata!J852="",FALSE,ISNUMBER(VALUE(metadata!J852))),metadata!J852&gt;0))</f>
        <v>0</v>
      </c>
      <c r="AE852">
        <f>AND(IF(metadata!K852="",FALSE,TRUE),exact(metadata!K852,"g"))</f>
        <v>0</v>
      </c>
    </row>
    <row r="853" spans="1:31">
      <c r="A853" s="5">
        <f>IF(B853=" "," ",HYPERLINK(CONCATENATE("#metadata!",ADDRESS(INDEX($Q$2:$Q$1001,MATCH(ROWS($O$2:O853),$O$2:$O$1001,0),0),1)),INDEX($T$2:$T$1001,MATCH(ROWS($O$2:O853),$O$2:$O$1001,0),0)))</f>
        <v>0</v>
      </c>
      <c r="B853" s="4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4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4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4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4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4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4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4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4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4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OR(AND(IF(metadata!C853="",FALSE,TRUE),OR(exact(metadata!C853,"not applicable"),exact(metadata!C853,"missing: not collected"),exact(metadata!C853,"missing: not provided"),exact(metadata!C853,"missing: restricted access"))),AND(IF(metadata!C853="",FALSE,ISNUMBER(VALUE(metadata!C853))),metadata!C853&gt;0))</f>
        <v>0</v>
      </c>
      <c r="X853">
        <f>AND(IF(metadata!D853="",FALSE,TRUE),exact(metadata!D853,"weeks"))</f>
        <v>0</v>
      </c>
      <c r="Y853">
        <f>AND(IF(metadata!E853="",FALSE,TRUE),exact(metadata!E853,"urban biome"))</f>
        <v>0</v>
      </c>
      <c r="Z853">
        <f>AND(IF(metadata!F853="",FALSE,TRUE),exact(metadata!F853,"animal-associated habitat"))</f>
        <v>0</v>
      </c>
      <c r="AA853">
        <f>AND(IF(metadata!G853="",FALSE,TRUE),exact(metadata!G853,"mouse"))</f>
        <v>0</v>
      </c>
      <c r="AB853">
        <f>AND(IF(metadata!H853="",FALSE,TRUE),exact(metadata!H853,"Mus musculus"))</f>
        <v>0</v>
      </c>
      <c r="AC853">
        <f>AND(IF(metadata!I853="",FALSE,TRUE),exact(metadata!I853,"10090"))</f>
        <v>0</v>
      </c>
      <c r="AD853">
        <f>OR(AND(IF(metadata!J853="",FALSE,TRUE),OR(exact(metadata!J853,"not applicable"),exact(metadata!J853,"missing: not collected"),exact(metadata!J853,"missing: not provided"),exact(metadata!J853,"missing: restricted access"))),AND(IF(metadata!J853="",FALSE,ISNUMBER(VALUE(metadata!J853))),metadata!J853&gt;0))</f>
        <v>0</v>
      </c>
      <c r="AE853">
        <f>AND(IF(metadata!K853="",FALSE,TRUE),exact(metadata!K853,"g"))</f>
        <v>0</v>
      </c>
    </row>
    <row r="854" spans="1:31">
      <c r="A854" s="5">
        <f>IF(B854=" "," ",HYPERLINK(CONCATENATE("#metadata!",ADDRESS(INDEX($Q$2:$Q$1001,MATCH(ROWS($O$2:O854),$O$2:$O$1001,0),0),1)),INDEX($T$2:$T$1001,MATCH(ROWS($O$2:O854),$O$2:$O$1001,0),0)))</f>
        <v>0</v>
      </c>
      <c r="B854" s="4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4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4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4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4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4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4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4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4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4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OR(AND(IF(metadata!C854="",FALSE,TRUE),OR(exact(metadata!C854,"not applicable"),exact(metadata!C854,"missing: not collected"),exact(metadata!C854,"missing: not provided"),exact(metadata!C854,"missing: restricted access"))),AND(IF(metadata!C854="",FALSE,ISNUMBER(VALUE(metadata!C854))),metadata!C854&gt;0))</f>
        <v>0</v>
      </c>
      <c r="X854">
        <f>AND(IF(metadata!D854="",FALSE,TRUE),exact(metadata!D854,"weeks"))</f>
        <v>0</v>
      </c>
      <c r="Y854">
        <f>AND(IF(metadata!E854="",FALSE,TRUE),exact(metadata!E854,"urban biome"))</f>
        <v>0</v>
      </c>
      <c r="Z854">
        <f>AND(IF(metadata!F854="",FALSE,TRUE),exact(metadata!F854,"animal-associated habitat"))</f>
        <v>0</v>
      </c>
      <c r="AA854">
        <f>AND(IF(metadata!G854="",FALSE,TRUE),exact(metadata!G854,"mouse"))</f>
        <v>0</v>
      </c>
      <c r="AB854">
        <f>AND(IF(metadata!H854="",FALSE,TRUE),exact(metadata!H854,"Mus musculus"))</f>
        <v>0</v>
      </c>
      <c r="AC854">
        <f>AND(IF(metadata!I854="",FALSE,TRUE),exact(metadata!I854,"10090"))</f>
        <v>0</v>
      </c>
      <c r="AD854">
        <f>OR(AND(IF(metadata!J854="",FALSE,TRUE),OR(exact(metadata!J854,"not applicable"),exact(metadata!J854,"missing: not collected"),exact(metadata!J854,"missing: not provided"),exact(metadata!J854,"missing: restricted access"))),AND(IF(metadata!J854="",FALSE,ISNUMBER(VALUE(metadata!J854))),metadata!J854&gt;0))</f>
        <v>0</v>
      </c>
      <c r="AE854">
        <f>AND(IF(metadata!K854="",FALSE,TRUE),exact(metadata!K854,"g"))</f>
        <v>0</v>
      </c>
    </row>
    <row r="855" spans="1:31">
      <c r="A855" s="5">
        <f>IF(B855=" "," ",HYPERLINK(CONCATENATE("#metadata!",ADDRESS(INDEX($Q$2:$Q$1001,MATCH(ROWS($O$2:O855),$O$2:$O$1001,0),0),1)),INDEX($T$2:$T$1001,MATCH(ROWS($O$2:O855),$O$2:$O$1001,0),0)))</f>
        <v>0</v>
      </c>
      <c r="B855" s="4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4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4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4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4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4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4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4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4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4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OR(AND(IF(metadata!C855="",FALSE,TRUE),OR(exact(metadata!C855,"not applicable"),exact(metadata!C855,"missing: not collected"),exact(metadata!C855,"missing: not provided"),exact(metadata!C855,"missing: restricted access"))),AND(IF(metadata!C855="",FALSE,ISNUMBER(VALUE(metadata!C855))),metadata!C855&gt;0))</f>
        <v>0</v>
      </c>
      <c r="X855">
        <f>AND(IF(metadata!D855="",FALSE,TRUE),exact(metadata!D855,"weeks"))</f>
        <v>0</v>
      </c>
      <c r="Y855">
        <f>AND(IF(metadata!E855="",FALSE,TRUE),exact(metadata!E855,"urban biome"))</f>
        <v>0</v>
      </c>
      <c r="Z855">
        <f>AND(IF(metadata!F855="",FALSE,TRUE),exact(metadata!F855,"animal-associated habitat"))</f>
        <v>0</v>
      </c>
      <c r="AA855">
        <f>AND(IF(metadata!G855="",FALSE,TRUE),exact(metadata!G855,"mouse"))</f>
        <v>0</v>
      </c>
      <c r="AB855">
        <f>AND(IF(metadata!H855="",FALSE,TRUE),exact(metadata!H855,"Mus musculus"))</f>
        <v>0</v>
      </c>
      <c r="AC855">
        <f>AND(IF(metadata!I855="",FALSE,TRUE),exact(metadata!I855,"10090"))</f>
        <v>0</v>
      </c>
      <c r="AD855">
        <f>OR(AND(IF(metadata!J855="",FALSE,TRUE),OR(exact(metadata!J855,"not applicable"),exact(metadata!J855,"missing: not collected"),exact(metadata!J855,"missing: not provided"),exact(metadata!J855,"missing: restricted access"))),AND(IF(metadata!J855="",FALSE,ISNUMBER(VALUE(metadata!J855))),metadata!J855&gt;0))</f>
        <v>0</v>
      </c>
      <c r="AE855">
        <f>AND(IF(metadata!K855="",FALSE,TRUE),exact(metadata!K855,"g"))</f>
        <v>0</v>
      </c>
    </row>
    <row r="856" spans="1:31">
      <c r="A856" s="5">
        <f>IF(B856=" "," ",HYPERLINK(CONCATENATE("#metadata!",ADDRESS(INDEX($Q$2:$Q$1001,MATCH(ROWS($O$2:O856),$O$2:$O$1001,0),0),1)),INDEX($T$2:$T$1001,MATCH(ROWS($O$2:O856),$O$2:$O$1001,0),0)))</f>
        <v>0</v>
      </c>
      <c r="B856" s="4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4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4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4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4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4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4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4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4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4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OR(AND(IF(metadata!C856="",FALSE,TRUE),OR(exact(metadata!C856,"not applicable"),exact(metadata!C856,"missing: not collected"),exact(metadata!C856,"missing: not provided"),exact(metadata!C856,"missing: restricted access"))),AND(IF(metadata!C856="",FALSE,ISNUMBER(VALUE(metadata!C856))),metadata!C856&gt;0))</f>
        <v>0</v>
      </c>
      <c r="X856">
        <f>AND(IF(metadata!D856="",FALSE,TRUE),exact(metadata!D856,"weeks"))</f>
        <v>0</v>
      </c>
      <c r="Y856">
        <f>AND(IF(metadata!E856="",FALSE,TRUE),exact(metadata!E856,"urban biome"))</f>
        <v>0</v>
      </c>
      <c r="Z856">
        <f>AND(IF(metadata!F856="",FALSE,TRUE),exact(metadata!F856,"animal-associated habitat"))</f>
        <v>0</v>
      </c>
      <c r="AA856">
        <f>AND(IF(metadata!G856="",FALSE,TRUE),exact(metadata!G856,"mouse"))</f>
        <v>0</v>
      </c>
      <c r="AB856">
        <f>AND(IF(metadata!H856="",FALSE,TRUE),exact(metadata!H856,"Mus musculus"))</f>
        <v>0</v>
      </c>
      <c r="AC856">
        <f>AND(IF(metadata!I856="",FALSE,TRUE),exact(metadata!I856,"10090"))</f>
        <v>0</v>
      </c>
      <c r="AD856">
        <f>OR(AND(IF(metadata!J856="",FALSE,TRUE),OR(exact(metadata!J856,"not applicable"),exact(metadata!J856,"missing: not collected"),exact(metadata!J856,"missing: not provided"),exact(metadata!J856,"missing: restricted access"))),AND(IF(metadata!J856="",FALSE,ISNUMBER(VALUE(metadata!J856))),metadata!J856&gt;0))</f>
        <v>0</v>
      </c>
      <c r="AE856">
        <f>AND(IF(metadata!K856="",FALSE,TRUE),exact(metadata!K856,"g"))</f>
        <v>0</v>
      </c>
    </row>
    <row r="857" spans="1:31">
      <c r="A857" s="5">
        <f>IF(B857=" "," ",HYPERLINK(CONCATENATE("#metadata!",ADDRESS(INDEX($Q$2:$Q$1001,MATCH(ROWS($O$2:O857),$O$2:$O$1001,0),0),1)),INDEX($T$2:$T$1001,MATCH(ROWS($O$2:O857),$O$2:$O$1001,0),0)))</f>
        <v>0</v>
      </c>
      <c r="B857" s="4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4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4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4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4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4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4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4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4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4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OR(AND(IF(metadata!C857="",FALSE,TRUE),OR(exact(metadata!C857,"not applicable"),exact(metadata!C857,"missing: not collected"),exact(metadata!C857,"missing: not provided"),exact(metadata!C857,"missing: restricted access"))),AND(IF(metadata!C857="",FALSE,ISNUMBER(VALUE(metadata!C857))),metadata!C857&gt;0))</f>
        <v>0</v>
      </c>
      <c r="X857">
        <f>AND(IF(metadata!D857="",FALSE,TRUE),exact(metadata!D857,"weeks"))</f>
        <v>0</v>
      </c>
      <c r="Y857">
        <f>AND(IF(metadata!E857="",FALSE,TRUE),exact(metadata!E857,"urban biome"))</f>
        <v>0</v>
      </c>
      <c r="Z857">
        <f>AND(IF(metadata!F857="",FALSE,TRUE),exact(metadata!F857,"animal-associated habitat"))</f>
        <v>0</v>
      </c>
      <c r="AA857">
        <f>AND(IF(metadata!G857="",FALSE,TRUE),exact(metadata!G857,"mouse"))</f>
        <v>0</v>
      </c>
      <c r="AB857">
        <f>AND(IF(metadata!H857="",FALSE,TRUE),exact(metadata!H857,"Mus musculus"))</f>
        <v>0</v>
      </c>
      <c r="AC857">
        <f>AND(IF(metadata!I857="",FALSE,TRUE),exact(metadata!I857,"10090"))</f>
        <v>0</v>
      </c>
      <c r="AD857">
        <f>OR(AND(IF(metadata!J857="",FALSE,TRUE),OR(exact(metadata!J857,"not applicable"),exact(metadata!J857,"missing: not collected"),exact(metadata!J857,"missing: not provided"),exact(metadata!J857,"missing: restricted access"))),AND(IF(metadata!J857="",FALSE,ISNUMBER(VALUE(metadata!J857))),metadata!J857&gt;0))</f>
        <v>0</v>
      </c>
      <c r="AE857">
        <f>AND(IF(metadata!K857="",FALSE,TRUE),exact(metadata!K857,"g"))</f>
        <v>0</v>
      </c>
    </row>
    <row r="858" spans="1:31">
      <c r="A858" s="5">
        <f>IF(B858=" "," ",HYPERLINK(CONCATENATE("#metadata!",ADDRESS(INDEX($Q$2:$Q$1001,MATCH(ROWS($O$2:O858),$O$2:$O$1001,0),0),1)),INDEX($T$2:$T$1001,MATCH(ROWS($O$2:O858),$O$2:$O$1001,0),0)))</f>
        <v>0</v>
      </c>
      <c r="B858" s="4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4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4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4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4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4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4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4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4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4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OR(AND(IF(metadata!C858="",FALSE,TRUE),OR(exact(metadata!C858,"not applicable"),exact(metadata!C858,"missing: not collected"),exact(metadata!C858,"missing: not provided"),exact(metadata!C858,"missing: restricted access"))),AND(IF(metadata!C858="",FALSE,ISNUMBER(VALUE(metadata!C858))),metadata!C858&gt;0))</f>
        <v>0</v>
      </c>
      <c r="X858">
        <f>AND(IF(metadata!D858="",FALSE,TRUE),exact(metadata!D858,"weeks"))</f>
        <v>0</v>
      </c>
      <c r="Y858">
        <f>AND(IF(metadata!E858="",FALSE,TRUE),exact(metadata!E858,"urban biome"))</f>
        <v>0</v>
      </c>
      <c r="Z858">
        <f>AND(IF(metadata!F858="",FALSE,TRUE),exact(metadata!F858,"animal-associated habitat"))</f>
        <v>0</v>
      </c>
      <c r="AA858">
        <f>AND(IF(metadata!G858="",FALSE,TRUE),exact(metadata!G858,"mouse"))</f>
        <v>0</v>
      </c>
      <c r="AB858">
        <f>AND(IF(metadata!H858="",FALSE,TRUE),exact(metadata!H858,"Mus musculus"))</f>
        <v>0</v>
      </c>
      <c r="AC858">
        <f>AND(IF(metadata!I858="",FALSE,TRUE),exact(metadata!I858,"10090"))</f>
        <v>0</v>
      </c>
      <c r="AD858">
        <f>OR(AND(IF(metadata!J858="",FALSE,TRUE),OR(exact(metadata!J858,"not applicable"),exact(metadata!J858,"missing: not collected"),exact(metadata!J858,"missing: not provided"),exact(metadata!J858,"missing: restricted access"))),AND(IF(metadata!J858="",FALSE,ISNUMBER(VALUE(metadata!J858))),metadata!J858&gt;0))</f>
        <v>0</v>
      </c>
      <c r="AE858">
        <f>AND(IF(metadata!K858="",FALSE,TRUE),exact(metadata!K858,"g"))</f>
        <v>0</v>
      </c>
    </row>
    <row r="859" spans="1:31">
      <c r="A859" s="5">
        <f>IF(B859=" "," ",HYPERLINK(CONCATENATE("#metadata!",ADDRESS(INDEX($Q$2:$Q$1001,MATCH(ROWS($O$2:O859),$O$2:$O$1001,0),0),1)),INDEX($T$2:$T$1001,MATCH(ROWS($O$2:O859),$O$2:$O$1001,0),0)))</f>
        <v>0</v>
      </c>
      <c r="B859" s="4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4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4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4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4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4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4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4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4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4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OR(AND(IF(metadata!C859="",FALSE,TRUE),OR(exact(metadata!C859,"not applicable"),exact(metadata!C859,"missing: not collected"),exact(metadata!C859,"missing: not provided"),exact(metadata!C859,"missing: restricted access"))),AND(IF(metadata!C859="",FALSE,ISNUMBER(VALUE(metadata!C859))),metadata!C859&gt;0))</f>
        <v>0</v>
      </c>
      <c r="X859">
        <f>AND(IF(metadata!D859="",FALSE,TRUE),exact(metadata!D859,"weeks"))</f>
        <v>0</v>
      </c>
      <c r="Y859">
        <f>AND(IF(metadata!E859="",FALSE,TRUE),exact(metadata!E859,"urban biome"))</f>
        <v>0</v>
      </c>
      <c r="Z859">
        <f>AND(IF(metadata!F859="",FALSE,TRUE),exact(metadata!F859,"animal-associated habitat"))</f>
        <v>0</v>
      </c>
      <c r="AA859">
        <f>AND(IF(metadata!G859="",FALSE,TRUE),exact(metadata!G859,"mouse"))</f>
        <v>0</v>
      </c>
      <c r="AB859">
        <f>AND(IF(metadata!H859="",FALSE,TRUE),exact(metadata!H859,"Mus musculus"))</f>
        <v>0</v>
      </c>
      <c r="AC859">
        <f>AND(IF(metadata!I859="",FALSE,TRUE),exact(metadata!I859,"10090"))</f>
        <v>0</v>
      </c>
      <c r="AD859">
        <f>OR(AND(IF(metadata!J859="",FALSE,TRUE),OR(exact(metadata!J859,"not applicable"),exact(metadata!J859,"missing: not collected"),exact(metadata!J859,"missing: not provided"),exact(metadata!J859,"missing: restricted access"))),AND(IF(metadata!J859="",FALSE,ISNUMBER(VALUE(metadata!J859))),metadata!J859&gt;0))</f>
        <v>0</v>
      </c>
      <c r="AE859">
        <f>AND(IF(metadata!K859="",FALSE,TRUE),exact(metadata!K859,"g"))</f>
        <v>0</v>
      </c>
    </row>
    <row r="860" spans="1:31">
      <c r="A860" s="5">
        <f>IF(B860=" "," ",HYPERLINK(CONCATENATE("#metadata!",ADDRESS(INDEX($Q$2:$Q$1001,MATCH(ROWS($O$2:O860),$O$2:$O$1001,0),0),1)),INDEX($T$2:$T$1001,MATCH(ROWS($O$2:O860),$O$2:$O$1001,0),0)))</f>
        <v>0</v>
      </c>
      <c r="B860" s="4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4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4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4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4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4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4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4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4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4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OR(AND(IF(metadata!C860="",FALSE,TRUE),OR(exact(metadata!C860,"not applicable"),exact(metadata!C860,"missing: not collected"),exact(metadata!C860,"missing: not provided"),exact(metadata!C860,"missing: restricted access"))),AND(IF(metadata!C860="",FALSE,ISNUMBER(VALUE(metadata!C860))),metadata!C860&gt;0))</f>
        <v>0</v>
      </c>
      <c r="X860">
        <f>AND(IF(metadata!D860="",FALSE,TRUE),exact(metadata!D860,"weeks"))</f>
        <v>0</v>
      </c>
      <c r="Y860">
        <f>AND(IF(metadata!E860="",FALSE,TRUE),exact(metadata!E860,"urban biome"))</f>
        <v>0</v>
      </c>
      <c r="Z860">
        <f>AND(IF(metadata!F860="",FALSE,TRUE),exact(metadata!F860,"animal-associated habitat"))</f>
        <v>0</v>
      </c>
      <c r="AA860">
        <f>AND(IF(metadata!G860="",FALSE,TRUE),exact(metadata!G860,"mouse"))</f>
        <v>0</v>
      </c>
      <c r="AB860">
        <f>AND(IF(metadata!H860="",FALSE,TRUE),exact(metadata!H860,"Mus musculus"))</f>
        <v>0</v>
      </c>
      <c r="AC860">
        <f>AND(IF(metadata!I860="",FALSE,TRUE),exact(metadata!I860,"10090"))</f>
        <v>0</v>
      </c>
      <c r="AD860">
        <f>OR(AND(IF(metadata!J860="",FALSE,TRUE),OR(exact(metadata!J860,"not applicable"),exact(metadata!J860,"missing: not collected"),exact(metadata!J860,"missing: not provided"),exact(metadata!J860,"missing: restricted access"))),AND(IF(metadata!J860="",FALSE,ISNUMBER(VALUE(metadata!J860))),metadata!J860&gt;0))</f>
        <v>0</v>
      </c>
      <c r="AE860">
        <f>AND(IF(metadata!K860="",FALSE,TRUE),exact(metadata!K860,"g"))</f>
        <v>0</v>
      </c>
    </row>
    <row r="861" spans="1:31">
      <c r="A861" s="5">
        <f>IF(B861=" "," ",HYPERLINK(CONCATENATE("#metadata!",ADDRESS(INDEX($Q$2:$Q$1001,MATCH(ROWS($O$2:O861),$O$2:$O$1001,0),0),1)),INDEX($T$2:$T$1001,MATCH(ROWS($O$2:O861),$O$2:$O$1001,0),0)))</f>
        <v>0</v>
      </c>
      <c r="B861" s="4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4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4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4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4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4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4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4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4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4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OR(AND(IF(metadata!C861="",FALSE,TRUE),OR(exact(metadata!C861,"not applicable"),exact(metadata!C861,"missing: not collected"),exact(metadata!C861,"missing: not provided"),exact(metadata!C861,"missing: restricted access"))),AND(IF(metadata!C861="",FALSE,ISNUMBER(VALUE(metadata!C861))),metadata!C861&gt;0))</f>
        <v>0</v>
      </c>
      <c r="X861">
        <f>AND(IF(metadata!D861="",FALSE,TRUE),exact(metadata!D861,"weeks"))</f>
        <v>0</v>
      </c>
      <c r="Y861">
        <f>AND(IF(metadata!E861="",FALSE,TRUE),exact(metadata!E861,"urban biome"))</f>
        <v>0</v>
      </c>
      <c r="Z861">
        <f>AND(IF(metadata!F861="",FALSE,TRUE),exact(metadata!F861,"animal-associated habitat"))</f>
        <v>0</v>
      </c>
      <c r="AA861">
        <f>AND(IF(metadata!G861="",FALSE,TRUE),exact(metadata!G861,"mouse"))</f>
        <v>0</v>
      </c>
      <c r="AB861">
        <f>AND(IF(metadata!H861="",FALSE,TRUE),exact(metadata!H861,"Mus musculus"))</f>
        <v>0</v>
      </c>
      <c r="AC861">
        <f>AND(IF(metadata!I861="",FALSE,TRUE),exact(metadata!I861,"10090"))</f>
        <v>0</v>
      </c>
      <c r="AD861">
        <f>OR(AND(IF(metadata!J861="",FALSE,TRUE),OR(exact(metadata!J861,"not applicable"),exact(metadata!J861,"missing: not collected"),exact(metadata!J861,"missing: not provided"),exact(metadata!J861,"missing: restricted access"))),AND(IF(metadata!J861="",FALSE,ISNUMBER(VALUE(metadata!J861))),metadata!J861&gt;0))</f>
        <v>0</v>
      </c>
      <c r="AE861">
        <f>AND(IF(metadata!K861="",FALSE,TRUE),exact(metadata!K861,"g"))</f>
        <v>0</v>
      </c>
    </row>
    <row r="862" spans="1:31">
      <c r="A862" s="5">
        <f>IF(B862=" "," ",HYPERLINK(CONCATENATE("#metadata!",ADDRESS(INDEX($Q$2:$Q$1001,MATCH(ROWS($O$2:O862),$O$2:$O$1001,0),0),1)),INDEX($T$2:$T$1001,MATCH(ROWS($O$2:O862),$O$2:$O$1001,0),0)))</f>
        <v>0</v>
      </c>
      <c r="B862" s="4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4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4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4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4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4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4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4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4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4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OR(AND(IF(metadata!C862="",FALSE,TRUE),OR(exact(metadata!C862,"not applicable"),exact(metadata!C862,"missing: not collected"),exact(metadata!C862,"missing: not provided"),exact(metadata!C862,"missing: restricted access"))),AND(IF(metadata!C862="",FALSE,ISNUMBER(VALUE(metadata!C862))),metadata!C862&gt;0))</f>
        <v>0</v>
      </c>
      <c r="X862">
        <f>AND(IF(metadata!D862="",FALSE,TRUE),exact(metadata!D862,"weeks"))</f>
        <v>0</v>
      </c>
      <c r="Y862">
        <f>AND(IF(metadata!E862="",FALSE,TRUE),exact(metadata!E862,"urban biome"))</f>
        <v>0</v>
      </c>
      <c r="Z862">
        <f>AND(IF(metadata!F862="",FALSE,TRUE),exact(metadata!F862,"animal-associated habitat"))</f>
        <v>0</v>
      </c>
      <c r="AA862">
        <f>AND(IF(metadata!G862="",FALSE,TRUE),exact(metadata!G862,"mouse"))</f>
        <v>0</v>
      </c>
      <c r="AB862">
        <f>AND(IF(metadata!H862="",FALSE,TRUE),exact(metadata!H862,"Mus musculus"))</f>
        <v>0</v>
      </c>
      <c r="AC862">
        <f>AND(IF(metadata!I862="",FALSE,TRUE),exact(metadata!I862,"10090"))</f>
        <v>0</v>
      </c>
      <c r="AD862">
        <f>OR(AND(IF(metadata!J862="",FALSE,TRUE),OR(exact(metadata!J862,"not applicable"),exact(metadata!J862,"missing: not collected"),exact(metadata!J862,"missing: not provided"),exact(metadata!J862,"missing: restricted access"))),AND(IF(metadata!J862="",FALSE,ISNUMBER(VALUE(metadata!J862))),metadata!J862&gt;0))</f>
        <v>0</v>
      </c>
      <c r="AE862">
        <f>AND(IF(metadata!K862="",FALSE,TRUE),exact(metadata!K862,"g"))</f>
        <v>0</v>
      </c>
    </row>
    <row r="863" spans="1:31">
      <c r="A863" s="5">
        <f>IF(B863=" "," ",HYPERLINK(CONCATENATE("#metadata!",ADDRESS(INDEX($Q$2:$Q$1001,MATCH(ROWS($O$2:O863),$O$2:$O$1001,0),0),1)),INDEX($T$2:$T$1001,MATCH(ROWS($O$2:O863),$O$2:$O$1001,0),0)))</f>
        <v>0</v>
      </c>
      <c r="B863" s="4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4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4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4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4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4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4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4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4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4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OR(AND(IF(metadata!C863="",FALSE,TRUE),OR(exact(metadata!C863,"not applicable"),exact(metadata!C863,"missing: not collected"),exact(metadata!C863,"missing: not provided"),exact(metadata!C863,"missing: restricted access"))),AND(IF(metadata!C863="",FALSE,ISNUMBER(VALUE(metadata!C863))),metadata!C863&gt;0))</f>
        <v>0</v>
      </c>
      <c r="X863">
        <f>AND(IF(metadata!D863="",FALSE,TRUE),exact(metadata!D863,"weeks"))</f>
        <v>0</v>
      </c>
      <c r="Y863">
        <f>AND(IF(metadata!E863="",FALSE,TRUE),exact(metadata!E863,"urban biome"))</f>
        <v>0</v>
      </c>
      <c r="Z863">
        <f>AND(IF(metadata!F863="",FALSE,TRUE),exact(metadata!F863,"animal-associated habitat"))</f>
        <v>0</v>
      </c>
      <c r="AA863">
        <f>AND(IF(metadata!G863="",FALSE,TRUE),exact(metadata!G863,"mouse"))</f>
        <v>0</v>
      </c>
      <c r="AB863">
        <f>AND(IF(metadata!H863="",FALSE,TRUE),exact(metadata!H863,"Mus musculus"))</f>
        <v>0</v>
      </c>
      <c r="AC863">
        <f>AND(IF(metadata!I863="",FALSE,TRUE),exact(metadata!I863,"10090"))</f>
        <v>0</v>
      </c>
      <c r="AD863">
        <f>OR(AND(IF(metadata!J863="",FALSE,TRUE),OR(exact(metadata!J863,"not applicable"),exact(metadata!J863,"missing: not collected"),exact(metadata!J863,"missing: not provided"),exact(metadata!J863,"missing: restricted access"))),AND(IF(metadata!J863="",FALSE,ISNUMBER(VALUE(metadata!J863))),metadata!J863&gt;0))</f>
        <v>0</v>
      </c>
      <c r="AE863">
        <f>AND(IF(metadata!K863="",FALSE,TRUE),exact(metadata!K863,"g"))</f>
        <v>0</v>
      </c>
    </row>
    <row r="864" spans="1:31">
      <c r="A864" s="5">
        <f>IF(B864=" "," ",HYPERLINK(CONCATENATE("#metadata!",ADDRESS(INDEX($Q$2:$Q$1001,MATCH(ROWS($O$2:O864),$O$2:$O$1001,0),0),1)),INDEX($T$2:$T$1001,MATCH(ROWS($O$2:O864),$O$2:$O$1001,0),0)))</f>
        <v>0</v>
      </c>
      <c r="B864" s="4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4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4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4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4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4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4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4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4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4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OR(AND(IF(metadata!C864="",FALSE,TRUE),OR(exact(metadata!C864,"not applicable"),exact(metadata!C864,"missing: not collected"),exact(metadata!C864,"missing: not provided"),exact(metadata!C864,"missing: restricted access"))),AND(IF(metadata!C864="",FALSE,ISNUMBER(VALUE(metadata!C864))),metadata!C864&gt;0))</f>
        <v>0</v>
      </c>
      <c r="X864">
        <f>AND(IF(metadata!D864="",FALSE,TRUE),exact(metadata!D864,"weeks"))</f>
        <v>0</v>
      </c>
      <c r="Y864">
        <f>AND(IF(metadata!E864="",FALSE,TRUE),exact(metadata!E864,"urban biome"))</f>
        <v>0</v>
      </c>
      <c r="Z864">
        <f>AND(IF(metadata!F864="",FALSE,TRUE),exact(metadata!F864,"animal-associated habitat"))</f>
        <v>0</v>
      </c>
      <c r="AA864">
        <f>AND(IF(metadata!G864="",FALSE,TRUE),exact(metadata!G864,"mouse"))</f>
        <v>0</v>
      </c>
      <c r="AB864">
        <f>AND(IF(metadata!H864="",FALSE,TRUE),exact(metadata!H864,"Mus musculus"))</f>
        <v>0</v>
      </c>
      <c r="AC864">
        <f>AND(IF(metadata!I864="",FALSE,TRUE),exact(metadata!I864,"10090"))</f>
        <v>0</v>
      </c>
      <c r="AD864">
        <f>OR(AND(IF(metadata!J864="",FALSE,TRUE),OR(exact(metadata!J864,"not applicable"),exact(metadata!J864,"missing: not collected"),exact(metadata!J864,"missing: not provided"),exact(metadata!J864,"missing: restricted access"))),AND(IF(metadata!J864="",FALSE,ISNUMBER(VALUE(metadata!J864))),metadata!J864&gt;0))</f>
        <v>0</v>
      </c>
      <c r="AE864">
        <f>AND(IF(metadata!K864="",FALSE,TRUE),exact(metadata!K864,"g"))</f>
        <v>0</v>
      </c>
    </row>
    <row r="865" spans="1:31">
      <c r="A865" s="5">
        <f>IF(B865=" "," ",HYPERLINK(CONCATENATE("#metadata!",ADDRESS(INDEX($Q$2:$Q$1001,MATCH(ROWS($O$2:O865),$O$2:$O$1001,0),0),1)),INDEX($T$2:$T$1001,MATCH(ROWS($O$2:O865),$O$2:$O$1001,0),0)))</f>
        <v>0</v>
      </c>
      <c r="B865" s="4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4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4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4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4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4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4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4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4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4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OR(AND(IF(metadata!C865="",FALSE,TRUE),OR(exact(metadata!C865,"not applicable"),exact(metadata!C865,"missing: not collected"),exact(metadata!C865,"missing: not provided"),exact(metadata!C865,"missing: restricted access"))),AND(IF(metadata!C865="",FALSE,ISNUMBER(VALUE(metadata!C865))),metadata!C865&gt;0))</f>
        <v>0</v>
      </c>
      <c r="X865">
        <f>AND(IF(metadata!D865="",FALSE,TRUE),exact(metadata!D865,"weeks"))</f>
        <v>0</v>
      </c>
      <c r="Y865">
        <f>AND(IF(metadata!E865="",FALSE,TRUE),exact(metadata!E865,"urban biome"))</f>
        <v>0</v>
      </c>
      <c r="Z865">
        <f>AND(IF(metadata!F865="",FALSE,TRUE),exact(metadata!F865,"animal-associated habitat"))</f>
        <v>0</v>
      </c>
      <c r="AA865">
        <f>AND(IF(metadata!G865="",FALSE,TRUE),exact(metadata!G865,"mouse"))</f>
        <v>0</v>
      </c>
      <c r="AB865">
        <f>AND(IF(metadata!H865="",FALSE,TRUE),exact(metadata!H865,"Mus musculus"))</f>
        <v>0</v>
      </c>
      <c r="AC865">
        <f>AND(IF(metadata!I865="",FALSE,TRUE),exact(metadata!I865,"10090"))</f>
        <v>0</v>
      </c>
      <c r="AD865">
        <f>OR(AND(IF(metadata!J865="",FALSE,TRUE),OR(exact(metadata!J865,"not applicable"),exact(metadata!J865,"missing: not collected"),exact(metadata!J865,"missing: not provided"),exact(metadata!J865,"missing: restricted access"))),AND(IF(metadata!J865="",FALSE,ISNUMBER(VALUE(metadata!J865))),metadata!J865&gt;0))</f>
        <v>0</v>
      </c>
      <c r="AE865">
        <f>AND(IF(metadata!K865="",FALSE,TRUE),exact(metadata!K865,"g"))</f>
        <v>0</v>
      </c>
    </row>
    <row r="866" spans="1:31">
      <c r="A866" s="5">
        <f>IF(B866=" "," ",HYPERLINK(CONCATENATE("#metadata!",ADDRESS(INDEX($Q$2:$Q$1001,MATCH(ROWS($O$2:O866),$O$2:$O$1001,0),0),1)),INDEX($T$2:$T$1001,MATCH(ROWS($O$2:O866),$O$2:$O$1001,0),0)))</f>
        <v>0</v>
      </c>
      <c r="B866" s="4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4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4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4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4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4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4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4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4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4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OR(AND(IF(metadata!C866="",FALSE,TRUE),OR(exact(metadata!C866,"not applicable"),exact(metadata!C866,"missing: not collected"),exact(metadata!C866,"missing: not provided"),exact(metadata!C866,"missing: restricted access"))),AND(IF(metadata!C866="",FALSE,ISNUMBER(VALUE(metadata!C866))),metadata!C866&gt;0))</f>
        <v>0</v>
      </c>
      <c r="X866">
        <f>AND(IF(metadata!D866="",FALSE,TRUE),exact(metadata!D866,"weeks"))</f>
        <v>0</v>
      </c>
      <c r="Y866">
        <f>AND(IF(metadata!E866="",FALSE,TRUE),exact(metadata!E866,"urban biome"))</f>
        <v>0</v>
      </c>
      <c r="Z866">
        <f>AND(IF(metadata!F866="",FALSE,TRUE),exact(metadata!F866,"animal-associated habitat"))</f>
        <v>0</v>
      </c>
      <c r="AA866">
        <f>AND(IF(metadata!G866="",FALSE,TRUE),exact(metadata!G866,"mouse"))</f>
        <v>0</v>
      </c>
      <c r="AB866">
        <f>AND(IF(metadata!H866="",FALSE,TRUE),exact(metadata!H866,"Mus musculus"))</f>
        <v>0</v>
      </c>
      <c r="AC866">
        <f>AND(IF(metadata!I866="",FALSE,TRUE),exact(metadata!I866,"10090"))</f>
        <v>0</v>
      </c>
      <c r="AD866">
        <f>OR(AND(IF(metadata!J866="",FALSE,TRUE),OR(exact(metadata!J866,"not applicable"),exact(metadata!J866,"missing: not collected"),exact(metadata!J866,"missing: not provided"),exact(metadata!J866,"missing: restricted access"))),AND(IF(metadata!J866="",FALSE,ISNUMBER(VALUE(metadata!J866))),metadata!J866&gt;0))</f>
        <v>0</v>
      </c>
      <c r="AE866">
        <f>AND(IF(metadata!K866="",FALSE,TRUE),exact(metadata!K866,"g"))</f>
        <v>0</v>
      </c>
    </row>
    <row r="867" spans="1:31">
      <c r="A867" s="5">
        <f>IF(B867=" "," ",HYPERLINK(CONCATENATE("#metadata!",ADDRESS(INDEX($Q$2:$Q$1001,MATCH(ROWS($O$2:O867),$O$2:$O$1001,0),0),1)),INDEX($T$2:$T$1001,MATCH(ROWS($O$2:O867),$O$2:$O$1001,0),0)))</f>
        <v>0</v>
      </c>
      <c r="B867" s="4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4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4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4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4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4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4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4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4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4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OR(AND(IF(metadata!C867="",FALSE,TRUE),OR(exact(metadata!C867,"not applicable"),exact(metadata!C867,"missing: not collected"),exact(metadata!C867,"missing: not provided"),exact(metadata!C867,"missing: restricted access"))),AND(IF(metadata!C867="",FALSE,ISNUMBER(VALUE(metadata!C867))),metadata!C867&gt;0))</f>
        <v>0</v>
      </c>
      <c r="X867">
        <f>AND(IF(metadata!D867="",FALSE,TRUE),exact(metadata!D867,"weeks"))</f>
        <v>0</v>
      </c>
      <c r="Y867">
        <f>AND(IF(metadata!E867="",FALSE,TRUE),exact(metadata!E867,"urban biome"))</f>
        <v>0</v>
      </c>
      <c r="Z867">
        <f>AND(IF(metadata!F867="",FALSE,TRUE),exact(metadata!F867,"animal-associated habitat"))</f>
        <v>0</v>
      </c>
      <c r="AA867">
        <f>AND(IF(metadata!G867="",FALSE,TRUE),exact(metadata!G867,"mouse"))</f>
        <v>0</v>
      </c>
      <c r="AB867">
        <f>AND(IF(metadata!H867="",FALSE,TRUE),exact(metadata!H867,"Mus musculus"))</f>
        <v>0</v>
      </c>
      <c r="AC867">
        <f>AND(IF(metadata!I867="",FALSE,TRUE),exact(metadata!I867,"10090"))</f>
        <v>0</v>
      </c>
      <c r="AD867">
        <f>OR(AND(IF(metadata!J867="",FALSE,TRUE),OR(exact(metadata!J867,"not applicable"),exact(metadata!J867,"missing: not collected"),exact(metadata!J867,"missing: not provided"),exact(metadata!J867,"missing: restricted access"))),AND(IF(metadata!J867="",FALSE,ISNUMBER(VALUE(metadata!J867))),metadata!J867&gt;0))</f>
        <v>0</v>
      </c>
      <c r="AE867">
        <f>AND(IF(metadata!K867="",FALSE,TRUE),exact(metadata!K867,"g"))</f>
        <v>0</v>
      </c>
    </row>
    <row r="868" spans="1:31">
      <c r="A868" s="5">
        <f>IF(B868=" "," ",HYPERLINK(CONCATENATE("#metadata!",ADDRESS(INDEX($Q$2:$Q$1001,MATCH(ROWS($O$2:O868),$O$2:$O$1001,0),0),1)),INDEX($T$2:$T$1001,MATCH(ROWS($O$2:O868),$O$2:$O$1001,0),0)))</f>
        <v>0</v>
      </c>
      <c r="B868" s="4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4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4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4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4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4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4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4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4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4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OR(AND(IF(metadata!C868="",FALSE,TRUE),OR(exact(metadata!C868,"not applicable"),exact(metadata!C868,"missing: not collected"),exact(metadata!C868,"missing: not provided"),exact(metadata!C868,"missing: restricted access"))),AND(IF(metadata!C868="",FALSE,ISNUMBER(VALUE(metadata!C868))),metadata!C868&gt;0))</f>
        <v>0</v>
      </c>
      <c r="X868">
        <f>AND(IF(metadata!D868="",FALSE,TRUE),exact(metadata!D868,"weeks"))</f>
        <v>0</v>
      </c>
      <c r="Y868">
        <f>AND(IF(metadata!E868="",FALSE,TRUE),exact(metadata!E868,"urban biome"))</f>
        <v>0</v>
      </c>
      <c r="Z868">
        <f>AND(IF(metadata!F868="",FALSE,TRUE),exact(metadata!F868,"animal-associated habitat"))</f>
        <v>0</v>
      </c>
      <c r="AA868">
        <f>AND(IF(metadata!G868="",FALSE,TRUE),exact(metadata!G868,"mouse"))</f>
        <v>0</v>
      </c>
      <c r="AB868">
        <f>AND(IF(metadata!H868="",FALSE,TRUE),exact(metadata!H868,"Mus musculus"))</f>
        <v>0</v>
      </c>
      <c r="AC868">
        <f>AND(IF(metadata!I868="",FALSE,TRUE),exact(metadata!I868,"10090"))</f>
        <v>0</v>
      </c>
      <c r="AD868">
        <f>OR(AND(IF(metadata!J868="",FALSE,TRUE),OR(exact(metadata!J868,"not applicable"),exact(metadata!J868,"missing: not collected"),exact(metadata!J868,"missing: not provided"),exact(metadata!J868,"missing: restricted access"))),AND(IF(metadata!J868="",FALSE,ISNUMBER(VALUE(metadata!J868))),metadata!J868&gt;0))</f>
        <v>0</v>
      </c>
      <c r="AE868">
        <f>AND(IF(metadata!K868="",FALSE,TRUE),exact(metadata!K868,"g"))</f>
        <v>0</v>
      </c>
    </row>
    <row r="869" spans="1:31">
      <c r="A869" s="5">
        <f>IF(B869=" "," ",HYPERLINK(CONCATENATE("#metadata!",ADDRESS(INDEX($Q$2:$Q$1001,MATCH(ROWS($O$2:O869),$O$2:$O$1001,0),0),1)),INDEX($T$2:$T$1001,MATCH(ROWS($O$2:O869),$O$2:$O$1001,0),0)))</f>
        <v>0</v>
      </c>
      <c r="B869" s="4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4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4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4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4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4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4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4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4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4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OR(AND(IF(metadata!C869="",FALSE,TRUE),OR(exact(metadata!C869,"not applicable"),exact(metadata!C869,"missing: not collected"),exact(metadata!C869,"missing: not provided"),exact(metadata!C869,"missing: restricted access"))),AND(IF(metadata!C869="",FALSE,ISNUMBER(VALUE(metadata!C869))),metadata!C869&gt;0))</f>
        <v>0</v>
      </c>
      <c r="X869">
        <f>AND(IF(metadata!D869="",FALSE,TRUE),exact(metadata!D869,"weeks"))</f>
        <v>0</v>
      </c>
      <c r="Y869">
        <f>AND(IF(metadata!E869="",FALSE,TRUE),exact(metadata!E869,"urban biome"))</f>
        <v>0</v>
      </c>
      <c r="Z869">
        <f>AND(IF(metadata!F869="",FALSE,TRUE),exact(metadata!F869,"animal-associated habitat"))</f>
        <v>0</v>
      </c>
      <c r="AA869">
        <f>AND(IF(metadata!G869="",FALSE,TRUE),exact(metadata!G869,"mouse"))</f>
        <v>0</v>
      </c>
      <c r="AB869">
        <f>AND(IF(metadata!H869="",FALSE,TRUE),exact(metadata!H869,"Mus musculus"))</f>
        <v>0</v>
      </c>
      <c r="AC869">
        <f>AND(IF(metadata!I869="",FALSE,TRUE),exact(metadata!I869,"10090"))</f>
        <v>0</v>
      </c>
      <c r="AD869">
        <f>OR(AND(IF(metadata!J869="",FALSE,TRUE),OR(exact(metadata!J869,"not applicable"),exact(metadata!J869,"missing: not collected"),exact(metadata!J869,"missing: not provided"),exact(metadata!J869,"missing: restricted access"))),AND(IF(metadata!J869="",FALSE,ISNUMBER(VALUE(metadata!J869))),metadata!J869&gt;0))</f>
        <v>0</v>
      </c>
      <c r="AE869">
        <f>AND(IF(metadata!K869="",FALSE,TRUE),exact(metadata!K869,"g"))</f>
        <v>0</v>
      </c>
    </row>
    <row r="870" spans="1:31">
      <c r="A870" s="5">
        <f>IF(B870=" "," ",HYPERLINK(CONCATENATE("#metadata!",ADDRESS(INDEX($Q$2:$Q$1001,MATCH(ROWS($O$2:O870),$O$2:$O$1001,0),0),1)),INDEX($T$2:$T$1001,MATCH(ROWS($O$2:O870),$O$2:$O$1001,0),0)))</f>
        <v>0</v>
      </c>
      <c r="B870" s="4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4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4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4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4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4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4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4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4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4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OR(AND(IF(metadata!C870="",FALSE,TRUE),OR(exact(metadata!C870,"not applicable"),exact(metadata!C870,"missing: not collected"),exact(metadata!C870,"missing: not provided"),exact(metadata!C870,"missing: restricted access"))),AND(IF(metadata!C870="",FALSE,ISNUMBER(VALUE(metadata!C870))),metadata!C870&gt;0))</f>
        <v>0</v>
      </c>
      <c r="X870">
        <f>AND(IF(metadata!D870="",FALSE,TRUE),exact(metadata!D870,"weeks"))</f>
        <v>0</v>
      </c>
      <c r="Y870">
        <f>AND(IF(metadata!E870="",FALSE,TRUE),exact(metadata!E870,"urban biome"))</f>
        <v>0</v>
      </c>
      <c r="Z870">
        <f>AND(IF(metadata!F870="",FALSE,TRUE),exact(metadata!F870,"animal-associated habitat"))</f>
        <v>0</v>
      </c>
      <c r="AA870">
        <f>AND(IF(metadata!G870="",FALSE,TRUE),exact(metadata!G870,"mouse"))</f>
        <v>0</v>
      </c>
      <c r="AB870">
        <f>AND(IF(metadata!H870="",FALSE,TRUE),exact(metadata!H870,"Mus musculus"))</f>
        <v>0</v>
      </c>
      <c r="AC870">
        <f>AND(IF(metadata!I870="",FALSE,TRUE),exact(metadata!I870,"10090"))</f>
        <v>0</v>
      </c>
      <c r="AD870">
        <f>OR(AND(IF(metadata!J870="",FALSE,TRUE),OR(exact(metadata!J870,"not applicable"),exact(metadata!J870,"missing: not collected"),exact(metadata!J870,"missing: not provided"),exact(metadata!J870,"missing: restricted access"))),AND(IF(metadata!J870="",FALSE,ISNUMBER(VALUE(metadata!J870))),metadata!J870&gt;0))</f>
        <v>0</v>
      </c>
      <c r="AE870">
        <f>AND(IF(metadata!K870="",FALSE,TRUE),exact(metadata!K870,"g"))</f>
        <v>0</v>
      </c>
    </row>
    <row r="871" spans="1:31">
      <c r="A871" s="5">
        <f>IF(B871=" "," ",HYPERLINK(CONCATENATE("#metadata!",ADDRESS(INDEX($Q$2:$Q$1001,MATCH(ROWS($O$2:O871),$O$2:$O$1001,0),0),1)),INDEX($T$2:$T$1001,MATCH(ROWS($O$2:O871),$O$2:$O$1001,0),0)))</f>
        <v>0</v>
      </c>
      <c r="B871" s="4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4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4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4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4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4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4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4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4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4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OR(AND(IF(metadata!C871="",FALSE,TRUE),OR(exact(metadata!C871,"not applicable"),exact(metadata!C871,"missing: not collected"),exact(metadata!C871,"missing: not provided"),exact(metadata!C871,"missing: restricted access"))),AND(IF(metadata!C871="",FALSE,ISNUMBER(VALUE(metadata!C871))),metadata!C871&gt;0))</f>
        <v>0</v>
      </c>
      <c r="X871">
        <f>AND(IF(metadata!D871="",FALSE,TRUE),exact(metadata!D871,"weeks"))</f>
        <v>0</v>
      </c>
      <c r="Y871">
        <f>AND(IF(metadata!E871="",FALSE,TRUE),exact(metadata!E871,"urban biome"))</f>
        <v>0</v>
      </c>
      <c r="Z871">
        <f>AND(IF(metadata!F871="",FALSE,TRUE),exact(metadata!F871,"animal-associated habitat"))</f>
        <v>0</v>
      </c>
      <c r="AA871">
        <f>AND(IF(metadata!G871="",FALSE,TRUE),exact(metadata!G871,"mouse"))</f>
        <v>0</v>
      </c>
      <c r="AB871">
        <f>AND(IF(metadata!H871="",FALSE,TRUE),exact(metadata!H871,"Mus musculus"))</f>
        <v>0</v>
      </c>
      <c r="AC871">
        <f>AND(IF(metadata!I871="",FALSE,TRUE),exact(metadata!I871,"10090"))</f>
        <v>0</v>
      </c>
      <c r="AD871">
        <f>OR(AND(IF(metadata!J871="",FALSE,TRUE),OR(exact(metadata!J871,"not applicable"),exact(metadata!J871,"missing: not collected"),exact(metadata!J871,"missing: not provided"),exact(metadata!J871,"missing: restricted access"))),AND(IF(metadata!J871="",FALSE,ISNUMBER(VALUE(metadata!J871))),metadata!J871&gt;0))</f>
        <v>0</v>
      </c>
      <c r="AE871">
        <f>AND(IF(metadata!K871="",FALSE,TRUE),exact(metadata!K871,"g"))</f>
        <v>0</v>
      </c>
    </row>
    <row r="872" spans="1:31">
      <c r="A872" s="5">
        <f>IF(B872=" "," ",HYPERLINK(CONCATENATE("#metadata!",ADDRESS(INDEX($Q$2:$Q$1001,MATCH(ROWS($O$2:O872),$O$2:$O$1001,0),0),1)),INDEX($T$2:$T$1001,MATCH(ROWS($O$2:O872),$O$2:$O$1001,0),0)))</f>
        <v>0</v>
      </c>
      <c r="B872" s="4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4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4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4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4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4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4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4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4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4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OR(AND(IF(metadata!C872="",FALSE,TRUE),OR(exact(metadata!C872,"not applicable"),exact(metadata!C872,"missing: not collected"),exact(metadata!C872,"missing: not provided"),exact(metadata!C872,"missing: restricted access"))),AND(IF(metadata!C872="",FALSE,ISNUMBER(VALUE(metadata!C872))),metadata!C872&gt;0))</f>
        <v>0</v>
      </c>
      <c r="X872">
        <f>AND(IF(metadata!D872="",FALSE,TRUE),exact(metadata!D872,"weeks"))</f>
        <v>0</v>
      </c>
      <c r="Y872">
        <f>AND(IF(metadata!E872="",FALSE,TRUE),exact(metadata!E872,"urban biome"))</f>
        <v>0</v>
      </c>
      <c r="Z872">
        <f>AND(IF(metadata!F872="",FALSE,TRUE),exact(metadata!F872,"animal-associated habitat"))</f>
        <v>0</v>
      </c>
      <c r="AA872">
        <f>AND(IF(metadata!G872="",FALSE,TRUE),exact(metadata!G872,"mouse"))</f>
        <v>0</v>
      </c>
      <c r="AB872">
        <f>AND(IF(metadata!H872="",FALSE,TRUE),exact(metadata!H872,"Mus musculus"))</f>
        <v>0</v>
      </c>
      <c r="AC872">
        <f>AND(IF(metadata!I872="",FALSE,TRUE),exact(metadata!I872,"10090"))</f>
        <v>0</v>
      </c>
      <c r="AD872">
        <f>OR(AND(IF(metadata!J872="",FALSE,TRUE),OR(exact(metadata!J872,"not applicable"),exact(metadata!J872,"missing: not collected"),exact(metadata!J872,"missing: not provided"),exact(metadata!J872,"missing: restricted access"))),AND(IF(metadata!J872="",FALSE,ISNUMBER(VALUE(metadata!J872))),metadata!J872&gt;0))</f>
        <v>0</v>
      </c>
      <c r="AE872">
        <f>AND(IF(metadata!K872="",FALSE,TRUE),exact(metadata!K872,"g"))</f>
        <v>0</v>
      </c>
    </row>
    <row r="873" spans="1:31">
      <c r="A873" s="5">
        <f>IF(B873=" "," ",HYPERLINK(CONCATENATE("#metadata!",ADDRESS(INDEX($Q$2:$Q$1001,MATCH(ROWS($O$2:O873),$O$2:$O$1001,0),0),1)),INDEX($T$2:$T$1001,MATCH(ROWS($O$2:O873),$O$2:$O$1001,0),0)))</f>
        <v>0</v>
      </c>
      <c r="B873" s="4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4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4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4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4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4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4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4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4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4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OR(AND(IF(metadata!C873="",FALSE,TRUE),OR(exact(metadata!C873,"not applicable"),exact(metadata!C873,"missing: not collected"),exact(metadata!C873,"missing: not provided"),exact(metadata!C873,"missing: restricted access"))),AND(IF(metadata!C873="",FALSE,ISNUMBER(VALUE(metadata!C873))),metadata!C873&gt;0))</f>
        <v>0</v>
      </c>
      <c r="X873">
        <f>AND(IF(metadata!D873="",FALSE,TRUE),exact(metadata!D873,"weeks"))</f>
        <v>0</v>
      </c>
      <c r="Y873">
        <f>AND(IF(metadata!E873="",FALSE,TRUE),exact(metadata!E873,"urban biome"))</f>
        <v>0</v>
      </c>
      <c r="Z873">
        <f>AND(IF(metadata!F873="",FALSE,TRUE),exact(metadata!F873,"animal-associated habitat"))</f>
        <v>0</v>
      </c>
      <c r="AA873">
        <f>AND(IF(metadata!G873="",FALSE,TRUE),exact(metadata!G873,"mouse"))</f>
        <v>0</v>
      </c>
      <c r="AB873">
        <f>AND(IF(metadata!H873="",FALSE,TRUE),exact(metadata!H873,"Mus musculus"))</f>
        <v>0</v>
      </c>
      <c r="AC873">
        <f>AND(IF(metadata!I873="",FALSE,TRUE),exact(metadata!I873,"10090"))</f>
        <v>0</v>
      </c>
      <c r="AD873">
        <f>OR(AND(IF(metadata!J873="",FALSE,TRUE),OR(exact(metadata!J873,"not applicable"),exact(metadata!J873,"missing: not collected"),exact(metadata!J873,"missing: not provided"),exact(metadata!J873,"missing: restricted access"))),AND(IF(metadata!J873="",FALSE,ISNUMBER(VALUE(metadata!J873))),metadata!J873&gt;0))</f>
        <v>0</v>
      </c>
      <c r="AE873">
        <f>AND(IF(metadata!K873="",FALSE,TRUE),exact(metadata!K873,"g"))</f>
        <v>0</v>
      </c>
    </row>
    <row r="874" spans="1:31">
      <c r="A874" s="5">
        <f>IF(B874=" "," ",HYPERLINK(CONCATENATE("#metadata!",ADDRESS(INDEX($Q$2:$Q$1001,MATCH(ROWS($O$2:O874),$O$2:$O$1001,0),0),1)),INDEX($T$2:$T$1001,MATCH(ROWS($O$2:O874),$O$2:$O$1001,0),0)))</f>
        <v>0</v>
      </c>
      <c r="B874" s="4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4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4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4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4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4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4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4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4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4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OR(AND(IF(metadata!C874="",FALSE,TRUE),OR(exact(metadata!C874,"not applicable"),exact(metadata!C874,"missing: not collected"),exact(metadata!C874,"missing: not provided"),exact(metadata!C874,"missing: restricted access"))),AND(IF(metadata!C874="",FALSE,ISNUMBER(VALUE(metadata!C874))),metadata!C874&gt;0))</f>
        <v>0</v>
      </c>
      <c r="X874">
        <f>AND(IF(metadata!D874="",FALSE,TRUE),exact(metadata!D874,"weeks"))</f>
        <v>0</v>
      </c>
      <c r="Y874">
        <f>AND(IF(metadata!E874="",FALSE,TRUE),exact(metadata!E874,"urban biome"))</f>
        <v>0</v>
      </c>
      <c r="Z874">
        <f>AND(IF(metadata!F874="",FALSE,TRUE),exact(metadata!F874,"animal-associated habitat"))</f>
        <v>0</v>
      </c>
      <c r="AA874">
        <f>AND(IF(metadata!G874="",FALSE,TRUE),exact(metadata!G874,"mouse"))</f>
        <v>0</v>
      </c>
      <c r="AB874">
        <f>AND(IF(metadata!H874="",FALSE,TRUE),exact(metadata!H874,"Mus musculus"))</f>
        <v>0</v>
      </c>
      <c r="AC874">
        <f>AND(IF(metadata!I874="",FALSE,TRUE),exact(metadata!I874,"10090"))</f>
        <v>0</v>
      </c>
      <c r="AD874">
        <f>OR(AND(IF(metadata!J874="",FALSE,TRUE),OR(exact(metadata!J874,"not applicable"),exact(metadata!J874,"missing: not collected"),exact(metadata!J874,"missing: not provided"),exact(metadata!J874,"missing: restricted access"))),AND(IF(metadata!J874="",FALSE,ISNUMBER(VALUE(metadata!J874))),metadata!J874&gt;0))</f>
        <v>0</v>
      </c>
      <c r="AE874">
        <f>AND(IF(metadata!K874="",FALSE,TRUE),exact(metadata!K874,"g"))</f>
        <v>0</v>
      </c>
    </row>
    <row r="875" spans="1:31">
      <c r="A875" s="5">
        <f>IF(B875=" "," ",HYPERLINK(CONCATENATE("#metadata!",ADDRESS(INDEX($Q$2:$Q$1001,MATCH(ROWS($O$2:O875),$O$2:$O$1001,0),0),1)),INDEX($T$2:$T$1001,MATCH(ROWS($O$2:O875),$O$2:$O$1001,0),0)))</f>
        <v>0</v>
      </c>
      <c r="B875" s="4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4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4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4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4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4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4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4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4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4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OR(AND(IF(metadata!C875="",FALSE,TRUE),OR(exact(metadata!C875,"not applicable"),exact(metadata!C875,"missing: not collected"),exact(metadata!C875,"missing: not provided"),exact(metadata!C875,"missing: restricted access"))),AND(IF(metadata!C875="",FALSE,ISNUMBER(VALUE(metadata!C875))),metadata!C875&gt;0))</f>
        <v>0</v>
      </c>
      <c r="X875">
        <f>AND(IF(metadata!D875="",FALSE,TRUE),exact(metadata!D875,"weeks"))</f>
        <v>0</v>
      </c>
      <c r="Y875">
        <f>AND(IF(metadata!E875="",FALSE,TRUE),exact(metadata!E875,"urban biome"))</f>
        <v>0</v>
      </c>
      <c r="Z875">
        <f>AND(IF(metadata!F875="",FALSE,TRUE),exact(metadata!F875,"animal-associated habitat"))</f>
        <v>0</v>
      </c>
      <c r="AA875">
        <f>AND(IF(metadata!G875="",FALSE,TRUE),exact(metadata!G875,"mouse"))</f>
        <v>0</v>
      </c>
      <c r="AB875">
        <f>AND(IF(metadata!H875="",FALSE,TRUE),exact(metadata!H875,"Mus musculus"))</f>
        <v>0</v>
      </c>
      <c r="AC875">
        <f>AND(IF(metadata!I875="",FALSE,TRUE),exact(metadata!I875,"10090"))</f>
        <v>0</v>
      </c>
      <c r="AD875">
        <f>OR(AND(IF(metadata!J875="",FALSE,TRUE),OR(exact(metadata!J875,"not applicable"),exact(metadata!J875,"missing: not collected"),exact(metadata!J875,"missing: not provided"),exact(metadata!J875,"missing: restricted access"))),AND(IF(metadata!J875="",FALSE,ISNUMBER(VALUE(metadata!J875))),metadata!J875&gt;0))</f>
        <v>0</v>
      </c>
      <c r="AE875">
        <f>AND(IF(metadata!K875="",FALSE,TRUE),exact(metadata!K875,"g"))</f>
        <v>0</v>
      </c>
    </row>
    <row r="876" spans="1:31">
      <c r="A876" s="5">
        <f>IF(B876=" "," ",HYPERLINK(CONCATENATE("#metadata!",ADDRESS(INDEX($Q$2:$Q$1001,MATCH(ROWS($O$2:O876),$O$2:$O$1001,0),0),1)),INDEX($T$2:$T$1001,MATCH(ROWS($O$2:O876),$O$2:$O$1001,0),0)))</f>
        <v>0</v>
      </c>
      <c r="B876" s="4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4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4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4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4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4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4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4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4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4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OR(AND(IF(metadata!C876="",FALSE,TRUE),OR(exact(metadata!C876,"not applicable"),exact(metadata!C876,"missing: not collected"),exact(metadata!C876,"missing: not provided"),exact(metadata!C876,"missing: restricted access"))),AND(IF(metadata!C876="",FALSE,ISNUMBER(VALUE(metadata!C876))),metadata!C876&gt;0))</f>
        <v>0</v>
      </c>
      <c r="X876">
        <f>AND(IF(metadata!D876="",FALSE,TRUE),exact(metadata!D876,"weeks"))</f>
        <v>0</v>
      </c>
      <c r="Y876">
        <f>AND(IF(metadata!E876="",FALSE,TRUE),exact(metadata!E876,"urban biome"))</f>
        <v>0</v>
      </c>
      <c r="Z876">
        <f>AND(IF(metadata!F876="",FALSE,TRUE),exact(metadata!F876,"animal-associated habitat"))</f>
        <v>0</v>
      </c>
      <c r="AA876">
        <f>AND(IF(metadata!G876="",FALSE,TRUE),exact(metadata!G876,"mouse"))</f>
        <v>0</v>
      </c>
      <c r="AB876">
        <f>AND(IF(metadata!H876="",FALSE,TRUE),exact(metadata!H876,"Mus musculus"))</f>
        <v>0</v>
      </c>
      <c r="AC876">
        <f>AND(IF(metadata!I876="",FALSE,TRUE),exact(metadata!I876,"10090"))</f>
        <v>0</v>
      </c>
      <c r="AD876">
        <f>OR(AND(IF(metadata!J876="",FALSE,TRUE),OR(exact(metadata!J876,"not applicable"),exact(metadata!J876,"missing: not collected"),exact(metadata!J876,"missing: not provided"),exact(metadata!J876,"missing: restricted access"))),AND(IF(metadata!J876="",FALSE,ISNUMBER(VALUE(metadata!J876))),metadata!J876&gt;0))</f>
        <v>0</v>
      </c>
      <c r="AE876">
        <f>AND(IF(metadata!K876="",FALSE,TRUE),exact(metadata!K876,"g"))</f>
        <v>0</v>
      </c>
    </row>
    <row r="877" spans="1:31">
      <c r="A877" s="5">
        <f>IF(B877=" "," ",HYPERLINK(CONCATENATE("#metadata!",ADDRESS(INDEX($Q$2:$Q$1001,MATCH(ROWS($O$2:O877),$O$2:$O$1001,0),0),1)),INDEX($T$2:$T$1001,MATCH(ROWS($O$2:O877),$O$2:$O$1001,0),0)))</f>
        <v>0</v>
      </c>
      <c r="B877" s="4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4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4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4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4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4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4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4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4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4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OR(AND(IF(metadata!C877="",FALSE,TRUE),OR(exact(metadata!C877,"not applicable"),exact(metadata!C877,"missing: not collected"),exact(metadata!C877,"missing: not provided"),exact(metadata!C877,"missing: restricted access"))),AND(IF(metadata!C877="",FALSE,ISNUMBER(VALUE(metadata!C877))),metadata!C877&gt;0))</f>
        <v>0</v>
      </c>
      <c r="X877">
        <f>AND(IF(metadata!D877="",FALSE,TRUE),exact(metadata!D877,"weeks"))</f>
        <v>0</v>
      </c>
      <c r="Y877">
        <f>AND(IF(metadata!E877="",FALSE,TRUE),exact(metadata!E877,"urban biome"))</f>
        <v>0</v>
      </c>
      <c r="Z877">
        <f>AND(IF(metadata!F877="",FALSE,TRUE),exact(metadata!F877,"animal-associated habitat"))</f>
        <v>0</v>
      </c>
      <c r="AA877">
        <f>AND(IF(metadata!G877="",FALSE,TRUE),exact(metadata!G877,"mouse"))</f>
        <v>0</v>
      </c>
      <c r="AB877">
        <f>AND(IF(metadata!H877="",FALSE,TRUE),exact(metadata!H877,"Mus musculus"))</f>
        <v>0</v>
      </c>
      <c r="AC877">
        <f>AND(IF(metadata!I877="",FALSE,TRUE),exact(metadata!I877,"10090"))</f>
        <v>0</v>
      </c>
      <c r="AD877">
        <f>OR(AND(IF(metadata!J877="",FALSE,TRUE),OR(exact(metadata!J877,"not applicable"),exact(metadata!J877,"missing: not collected"),exact(metadata!J877,"missing: not provided"),exact(metadata!J877,"missing: restricted access"))),AND(IF(metadata!J877="",FALSE,ISNUMBER(VALUE(metadata!J877))),metadata!J877&gt;0))</f>
        <v>0</v>
      </c>
      <c r="AE877">
        <f>AND(IF(metadata!K877="",FALSE,TRUE),exact(metadata!K877,"g"))</f>
        <v>0</v>
      </c>
    </row>
    <row r="878" spans="1:31">
      <c r="A878" s="5">
        <f>IF(B878=" "," ",HYPERLINK(CONCATENATE("#metadata!",ADDRESS(INDEX($Q$2:$Q$1001,MATCH(ROWS($O$2:O878),$O$2:$O$1001,0),0),1)),INDEX($T$2:$T$1001,MATCH(ROWS($O$2:O878),$O$2:$O$1001,0),0)))</f>
        <v>0</v>
      </c>
      <c r="B878" s="4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4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4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4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4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4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4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4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4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4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OR(AND(IF(metadata!C878="",FALSE,TRUE),OR(exact(metadata!C878,"not applicable"),exact(metadata!C878,"missing: not collected"),exact(metadata!C878,"missing: not provided"),exact(metadata!C878,"missing: restricted access"))),AND(IF(metadata!C878="",FALSE,ISNUMBER(VALUE(metadata!C878))),metadata!C878&gt;0))</f>
        <v>0</v>
      </c>
      <c r="X878">
        <f>AND(IF(metadata!D878="",FALSE,TRUE),exact(metadata!D878,"weeks"))</f>
        <v>0</v>
      </c>
      <c r="Y878">
        <f>AND(IF(metadata!E878="",FALSE,TRUE),exact(metadata!E878,"urban biome"))</f>
        <v>0</v>
      </c>
      <c r="Z878">
        <f>AND(IF(metadata!F878="",FALSE,TRUE),exact(metadata!F878,"animal-associated habitat"))</f>
        <v>0</v>
      </c>
      <c r="AA878">
        <f>AND(IF(metadata!G878="",FALSE,TRUE),exact(metadata!G878,"mouse"))</f>
        <v>0</v>
      </c>
      <c r="AB878">
        <f>AND(IF(metadata!H878="",FALSE,TRUE),exact(metadata!H878,"Mus musculus"))</f>
        <v>0</v>
      </c>
      <c r="AC878">
        <f>AND(IF(metadata!I878="",FALSE,TRUE),exact(metadata!I878,"10090"))</f>
        <v>0</v>
      </c>
      <c r="AD878">
        <f>OR(AND(IF(metadata!J878="",FALSE,TRUE),OR(exact(metadata!J878,"not applicable"),exact(metadata!J878,"missing: not collected"),exact(metadata!J878,"missing: not provided"),exact(metadata!J878,"missing: restricted access"))),AND(IF(metadata!J878="",FALSE,ISNUMBER(VALUE(metadata!J878))),metadata!J878&gt;0))</f>
        <v>0</v>
      </c>
      <c r="AE878">
        <f>AND(IF(metadata!K878="",FALSE,TRUE),exact(metadata!K878,"g"))</f>
        <v>0</v>
      </c>
    </row>
    <row r="879" spans="1:31">
      <c r="A879" s="5">
        <f>IF(B879=" "," ",HYPERLINK(CONCATENATE("#metadata!",ADDRESS(INDEX($Q$2:$Q$1001,MATCH(ROWS($O$2:O879),$O$2:$O$1001,0),0),1)),INDEX($T$2:$T$1001,MATCH(ROWS($O$2:O879),$O$2:$O$1001,0),0)))</f>
        <v>0</v>
      </c>
      <c r="B879" s="4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4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4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4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4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4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4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4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4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4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OR(AND(IF(metadata!C879="",FALSE,TRUE),OR(exact(metadata!C879,"not applicable"),exact(metadata!C879,"missing: not collected"),exact(metadata!C879,"missing: not provided"),exact(metadata!C879,"missing: restricted access"))),AND(IF(metadata!C879="",FALSE,ISNUMBER(VALUE(metadata!C879))),metadata!C879&gt;0))</f>
        <v>0</v>
      </c>
      <c r="X879">
        <f>AND(IF(metadata!D879="",FALSE,TRUE),exact(metadata!D879,"weeks"))</f>
        <v>0</v>
      </c>
      <c r="Y879">
        <f>AND(IF(metadata!E879="",FALSE,TRUE),exact(metadata!E879,"urban biome"))</f>
        <v>0</v>
      </c>
      <c r="Z879">
        <f>AND(IF(metadata!F879="",FALSE,TRUE),exact(metadata!F879,"animal-associated habitat"))</f>
        <v>0</v>
      </c>
      <c r="AA879">
        <f>AND(IF(metadata!G879="",FALSE,TRUE),exact(metadata!G879,"mouse"))</f>
        <v>0</v>
      </c>
      <c r="AB879">
        <f>AND(IF(metadata!H879="",FALSE,TRUE),exact(metadata!H879,"Mus musculus"))</f>
        <v>0</v>
      </c>
      <c r="AC879">
        <f>AND(IF(metadata!I879="",FALSE,TRUE),exact(metadata!I879,"10090"))</f>
        <v>0</v>
      </c>
      <c r="AD879">
        <f>OR(AND(IF(metadata!J879="",FALSE,TRUE),OR(exact(metadata!J879,"not applicable"),exact(metadata!J879,"missing: not collected"),exact(metadata!J879,"missing: not provided"),exact(metadata!J879,"missing: restricted access"))),AND(IF(metadata!J879="",FALSE,ISNUMBER(VALUE(metadata!J879))),metadata!J879&gt;0))</f>
        <v>0</v>
      </c>
      <c r="AE879">
        <f>AND(IF(metadata!K879="",FALSE,TRUE),exact(metadata!K879,"g"))</f>
        <v>0</v>
      </c>
    </row>
    <row r="880" spans="1:31">
      <c r="A880" s="5">
        <f>IF(B880=" "," ",HYPERLINK(CONCATENATE("#metadata!",ADDRESS(INDEX($Q$2:$Q$1001,MATCH(ROWS($O$2:O880),$O$2:$O$1001,0),0),1)),INDEX($T$2:$T$1001,MATCH(ROWS($O$2:O880),$O$2:$O$1001,0),0)))</f>
        <v>0</v>
      </c>
      <c r="B880" s="4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4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4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4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4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4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4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4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4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4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OR(AND(IF(metadata!C880="",FALSE,TRUE),OR(exact(metadata!C880,"not applicable"),exact(metadata!C880,"missing: not collected"),exact(metadata!C880,"missing: not provided"),exact(metadata!C880,"missing: restricted access"))),AND(IF(metadata!C880="",FALSE,ISNUMBER(VALUE(metadata!C880))),metadata!C880&gt;0))</f>
        <v>0</v>
      </c>
      <c r="X880">
        <f>AND(IF(metadata!D880="",FALSE,TRUE),exact(metadata!D880,"weeks"))</f>
        <v>0</v>
      </c>
      <c r="Y880">
        <f>AND(IF(metadata!E880="",FALSE,TRUE),exact(metadata!E880,"urban biome"))</f>
        <v>0</v>
      </c>
      <c r="Z880">
        <f>AND(IF(metadata!F880="",FALSE,TRUE),exact(metadata!F880,"animal-associated habitat"))</f>
        <v>0</v>
      </c>
      <c r="AA880">
        <f>AND(IF(metadata!G880="",FALSE,TRUE),exact(metadata!G880,"mouse"))</f>
        <v>0</v>
      </c>
      <c r="AB880">
        <f>AND(IF(metadata!H880="",FALSE,TRUE),exact(metadata!H880,"Mus musculus"))</f>
        <v>0</v>
      </c>
      <c r="AC880">
        <f>AND(IF(metadata!I880="",FALSE,TRUE),exact(metadata!I880,"10090"))</f>
        <v>0</v>
      </c>
      <c r="AD880">
        <f>OR(AND(IF(metadata!J880="",FALSE,TRUE),OR(exact(metadata!J880,"not applicable"),exact(metadata!J880,"missing: not collected"),exact(metadata!J880,"missing: not provided"),exact(metadata!J880,"missing: restricted access"))),AND(IF(metadata!J880="",FALSE,ISNUMBER(VALUE(metadata!J880))),metadata!J880&gt;0))</f>
        <v>0</v>
      </c>
      <c r="AE880">
        <f>AND(IF(metadata!K880="",FALSE,TRUE),exact(metadata!K880,"g"))</f>
        <v>0</v>
      </c>
    </row>
    <row r="881" spans="1:31">
      <c r="A881" s="5">
        <f>IF(B881=" "," ",HYPERLINK(CONCATENATE("#metadata!",ADDRESS(INDEX($Q$2:$Q$1001,MATCH(ROWS($O$2:O881),$O$2:$O$1001,0),0),1)),INDEX($T$2:$T$1001,MATCH(ROWS($O$2:O881),$O$2:$O$1001,0),0)))</f>
        <v>0</v>
      </c>
      <c r="B881" s="4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4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4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4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4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4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4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4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4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4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OR(AND(IF(metadata!C881="",FALSE,TRUE),OR(exact(metadata!C881,"not applicable"),exact(metadata!C881,"missing: not collected"),exact(metadata!C881,"missing: not provided"),exact(metadata!C881,"missing: restricted access"))),AND(IF(metadata!C881="",FALSE,ISNUMBER(VALUE(metadata!C881))),metadata!C881&gt;0))</f>
        <v>0</v>
      </c>
      <c r="X881">
        <f>AND(IF(metadata!D881="",FALSE,TRUE),exact(metadata!D881,"weeks"))</f>
        <v>0</v>
      </c>
      <c r="Y881">
        <f>AND(IF(metadata!E881="",FALSE,TRUE),exact(metadata!E881,"urban biome"))</f>
        <v>0</v>
      </c>
      <c r="Z881">
        <f>AND(IF(metadata!F881="",FALSE,TRUE),exact(metadata!F881,"animal-associated habitat"))</f>
        <v>0</v>
      </c>
      <c r="AA881">
        <f>AND(IF(metadata!G881="",FALSE,TRUE),exact(metadata!G881,"mouse"))</f>
        <v>0</v>
      </c>
      <c r="AB881">
        <f>AND(IF(metadata!H881="",FALSE,TRUE),exact(metadata!H881,"Mus musculus"))</f>
        <v>0</v>
      </c>
      <c r="AC881">
        <f>AND(IF(metadata!I881="",FALSE,TRUE),exact(metadata!I881,"10090"))</f>
        <v>0</v>
      </c>
      <c r="AD881">
        <f>OR(AND(IF(metadata!J881="",FALSE,TRUE),OR(exact(metadata!J881,"not applicable"),exact(metadata!J881,"missing: not collected"),exact(metadata!J881,"missing: not provided"),exact(metadata!J881,"missing: restricted access"))),AND(IF(metadata!J881="",FALSE,ISNUMBER(VALUE(metadata!J881))),metadata!J881&gt;0))</f>
        <v>0</v>
      </c>
      <c r="AE881">
        <f>AND(IF(metadata!K881="",FALSE,TRUE),exact(metadata!K881,"g"))</f>
        <v>0</v>
      </c>
    </row>
    <row r="882" spans="1:31">
      <c r="A882" s="5">
        <f>IF(B882=" "," ",HYPERLINK(CONCATENATE("#metadata!",ADDRESS(INDEX($Q$2:$Q$1001,MATCH(ROWS($O$2:O882),$O$2:$O$1001,0),0),1)),INDEX($T$2:$T$1001,MATCH(ROWS($O$2:O882),$O$2:$O$1001,0),0)))</f>
        <v>0</v>
      </c>
      <c r="B882" s="4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4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4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4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4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4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4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4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4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4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OR(AND(IF(metadata!C882="",FALSE,TRUE),OR(exact(metadata!C882,"not applicable"),exact(metadata!C882,"missing: not collected"),exact(metadata!C882,"missing: not provided"),exact(metadata!C882,"missing: restricted access"))),AND(IF(metadata!C882="",FALSE,ISNUMBER(VALUE(metadata!C882))),metadata!C882&gt;0))</f>
        <v>0</v>
      </c>
      <c r="X882">
        <f>AND(IF(metadata!D882="",FALSE,TRUE),exact(metadata!D882,"weeks"))</f>
        <v>0</v>
      </c>
      <c r="Y882">
        <f>AND(IF(metadata!E882="",FALSE,TRUE),exact(metadata!E882,"urban biome"))</f>
        <v>0</v>
      </c>
      <c r="Z882">
        <f>AND(IF(metadata!F882="",FALSE,TRUE),exact(metadata!F882,"animal-associated habitat"))</f>
        <v>0</v>
      </c>
      <c r="AA882">
        <f>AND(IF(metadata!G882="",FALSE,TRUE),exact(metadata!G882,"mouse"))</f>
        <v>0</v>
      </c>
      <c r="AB882">
        <f>AND(IF(metadata!H882="",FALSE,TRUE),exact(metadata!H882,"Mus musculus"))</f>
        <v>0</v>
      </c>
      <c r="AC882">
        <f>AND(IF(metadata!I882="",FALSE,TRUE),exact(metadata!I882,"10090"))</f>
        <v>0</v>
      </c>
      <c r="AD882">
        <f>OR(AND(IF(metadata!J882="",FALSE,TRUE),OR(exact(metadata!J882,"not applicable"),exact(metadata!J882,"missing: not collected"),exact(metadata!J882,"missing: not provided"),exact(metadata!J882,"missing: restricted access"))),AND(IF(metadata!J882="",FALSE,ISNUMBER(VALUE(metadata!J882))),metadata!J882&gt;0))</f>
        <v>0</v>
      </c>
      <c r="AE882">
        <f>AND(IF(metadata!K882="",FALSE,TRUE),exact(metadata!K882,"g"))</f>
        <v>0</v>
      </c>
    </row>
    <row r="883" spans="1:31">
      <c r="A883" s="5">
        <f>IF(B883=" "," ",HYPERLINK(CONCATENATE("#metadata!",ADDRESS(INDEX($Q$2:$Q$1001,MATCH(ROWS($O$2:O883),$O$2:$O$1001,0),0),1)),INDEX($T$2:$T$1001,MATCH(ROWS($O$2:O883),$O$2:$O$1001,0),0)))</f>
        <v>0</v>
      </c>
      <c r="B883" s="4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4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4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4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4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4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4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4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4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4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OR(AND(IF(metadata!C883="",FALSE,TRUE),OR(exact(metadata!C883,"not applicable"),exact(metadata!C883,"missing: not collected"),exact(metadata!C883,"missing: not provided"),exact(metadata!C883,"missing: restricted access"))),AND(IF(metadata!C883="",FALSE,ISNUMBER(VALUE(metadata!C883))),metadata!C883&gt;0))</f>
        <v>0</v>
      </c>
      <c r="X883">
        <f>AND(IF(metadata!D883="",FALSE,TRUE),exact(metadata!D883,"weeks"))</f>
        <v>0</v>
      </c>
      <c r="Y883">
        <f>AND(IF(metadata!E883="",FALSE,TRUE),exact(metadata!E883,"urban biome"))</f>
        <v>0</v>
      </c>
      <c r="Z883">
        <f>AND(IF(metadata!F883="",FALSE,TRUE),exact(metadata!F883,"animal-associated habitat"))</f>
        <v>0</v>
      </c>
      <c r="AA883">
        <f>AND(IF(metadata!G883="",FALSE,TRUE),exact(metadata!G883,"mouse"))</f>
        <v>0</v>
      </c>
      <c r="AB883">
        <f>AND(IF(metadata!H883="",FALSE,TRUE),exact(metadata!H883,"Mus musculus"))</f>
        <v>0</v>
      </c>
      <c r="AC883">
        <f>AND(IF(metadata!I883="",FALSE,TRUE),exact(metadata!I883,"10090"))</f>
        <v>0</v>
      </c>
      <c r="AD883">
        <f>OR(AND(IF(metadata!J883="",FALSE,TRUE),OR(exact(metadata!J883,"not applicable"),exact(metadata!J883,"missing: not collected"),exact(metadata!J883,"missing: not provided"),exact(metadata!J883,"missing: restricted access"))),AND(IF(metadata!J883="",FALSE,ISNUMBER(VALUE(metadata!J883))),metadata!J883&gt;0))</f>
        <v>0</v>
      </c>
      <c r="AE883">
        <f>AND(IF(metadata!K883="",FALSE,TRUE),exact(metadata!K883,"g"))</f>
        <v>0</v>
      </c>
    </row>
    <row r="884" spans="1:31">
      <c r="A884" s="5">
        <f>IF(B884=" "," ",HYPERLINK(CONCATENATE("#metadata!",ADDRESS(INDEX($Q$2:$Q$1001,MATCH(ROWS($O$2:O884),$O$2:$O$1001,0),0),1)),INDEX($T$2:$T$1001,MATCH(ROWS($O$2:O884),$O$2:$O$1001,0),0)))</f>
        <v>0</v>
      </c>
      <c r="B884" s="4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4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4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4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4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4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4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4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4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4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OR(AND(IF(metadata!C884="",FALSE,TRUE),OR(exact(metadata!C884,"not applicable"),exact(metadata!C884,"missing: not collected"),exact(metadata!C884,"missing: not provided"),exact(metadata!C884,"missing: restricted access"))),AND(IF(metadata!C884="",FALSE,ISNUMBER(VALUE(metadata!C884))),metadata!C884&gt;0))</f>
        <v>0</v>
      </c>
      <c r="X884">
        <f>AND(IF(metadata!D884="",FALSE,TRUE),exact(metadata!D884,"weeks"))</f>
        <v>0</v>
      </c>
      <c r="Y884">
        <f>AND(IF(metadata!E884="",FALSE,TRUE),exact(metadata!E884,"urban biome"))</f>
        <v>0</v>
      </c>
      <c r="Z884">
        <f>AND(IF(metadata!F884="",FALSE,TRUE),exact(metadata!F884,"animal-associated habitat"))</f>
        <v>0</v>
      </c>
      <c r="AA884">
        <f>AND(IF(metadata!G884="",FALSE,TRUE),exact(metadata!G884,"mouse"))</f>
        <v>0</v>
      </c>
      <c r="AB884">
        <f>AND(IF(metadata!H884="",FALSE,TRUE),exact(metadata!H884,"Mus musculus"))</f>
        <v>0</v>
      </c>
      <c r="AC884">
        <f>AND(IF(metadata!I884="",FALSE,TRUE),exact(metadata!I884,"10090"))</f>
        <v>0</v>
      </c>
      <c r="AD884">
        <f>OR(AND(IF(metadata!J884="",FALSE,TRUE),OR(exact(metadata!J884,"not applicable"),exact(metadata!J884,"missing: not collected"),exact(metadata!J884,"missing: not provided"),exact(metadata!J884,"missing: restricted access"))),AND(IF(metadata!J884="",FALSE,ISNUMBER(VALUE(metadata!J884))),metadata!J884&gt;0))</f>
        <v>0</v>
      </c>
      <c r="AE884">
        <f>AND(IF(metadata!K884="",FALSE,TRUE),exact(metadata!K884,"g"))</f>
        <v>0</v>
      </c>
    </row>
    <row r="885" spans="1:31">
      <c r="A885" s="5">
        <f>IF(B885=" "," ",HYPERLINK(CONCATENATE("#metadata!",ADDRESS(INDEX($Q$2:$Q$1001,MATCH(ROWS($O$2:O885),$O$2:$O$1001,0),0),1)),INDEX($T$2:$T$1001,MATCH(ROWS($O$2:O885),$O$2:$O$1001,0),0)))</f>
        <v>0</v>
      </c>
      <c r="B885" s="4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4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4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4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4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4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4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4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4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4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OR(AND(IF(metadata!C885="",FALSE,TRUE),OR(exact(metadata!C885,"not applicable"),exact(metadata!C885,"missing: not collected"),exact(metadata!C885,"missing: not provided"),exact(metadata!C885,"missing: restricted access"))),AND(IF(metadata!C885="",FALSE,ISNUMBER(VALUE(metadata!C885))),metadata!C885&gt;0))</f>
        <v>0</v>
      </c>
      <c r="X885">
        <f>AND(IF(metadata!D885="",FALSE,TRUE),exact(metadata!D885,"weeks"))</f>
        <v>0</v>
      </c>
      <c r="Y885">
        <f>AND(IF(metadata!E885="",FALSE,TRUE),exact(metadata!E885,"urban biome"))</f>
        <v>0</v>
      </c>
      <c r="Z885">
        <f>AND(IF(metadata!F885="",FALSE,TRUE),exact(metadata!F885,"animal-associated habitat"))</f>
        <v>0</v>
      </c>
      <c r="AA885">
        <f>AND(IF(metadata!G885="",FALSE,TRUE),exact(metadata!G885,"mouse"))</f>
        <v>0</v>
      </c>
      <c r="AB885">
        <f>AND(IF(metadata!H885="",FALSE,TRUE),exact(metadata!H885,"Mus musculus"))</f>
        <v>0</v>
      </c>
      <c r="AC885">
        <f>AND(IF(metadata!I885="",FALSE,TRUE),exact(metadata!I885,"10090"))</f>
        <v>0</v>
      </c>
      <c r="AD885">
        <f>OR(AND(IF(metadata!J885="",FALSE,TRUE),OR(exact(metadata!J885,"not applicable"),exact(metadata!J885,"missing: not collected"),exact(metadata!J885,"missing: not provided"),exact(metadata!J885,"missing: restricted access"))),AND(IF(metadata!J885="",FALSE,ISNUMBER(VALUE(metadata!J885))),metadata!J885&gt;0))</f>
        <v>0</v>
      </c>
      <c r="AE885">
        <f>AND(IF(metadata!K885="",FALSE,TRUE),exact(metadata!K885,"g"))</f>
        <v>0</v>
      </c>
    </row>
    <row r="886" spans="1:31">
      <c r="A886" s="5">
        <f>IF(B886=" "," ",HYPERLINK(CONCATENATE("#metadata!",ADDRESS(INDEX($Q$2:$Q$1001,MATCH(ROWS($O$2:O886),$O$2:$O$1001,0),0),1)),INDEX($T$2:$T$1001,MATCH(ROWS($O$2:O886),$O$2:$O$1001,0),0)))</f>
        <v>0</v>
      </c>
      <c r="B886" s="4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4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4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4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4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4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4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4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4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4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OR(AND(IF(metadata!C886="",FALSE,TRUE),OR(exact(metadata!C886,"not applicable"),exact(metadata!C886,"missing: not collected"),exact(metadata!C886,"missing: not provided"),exact(metadata!C886,"missing: restricted access"))),AND(IF(metadata!C886="",FALSE,ISNUMBER(VALUE(metadata!C886))),metadata!C886&gt;0))</f>
        <v>0</v>
      </c>
      <c r="X886">
        <f>AND(IF(metadata!D886="",FALSE,TRUE),exact(metadata!D886,"weeks"))</f>
        <v>0</v>
      </c>
      <c r="Y886">
        <f>AND(IF(metadata!E886="",FALSE,TRUE),exact(metadata!E886,"urban biome"))</f>
        <v>0</v>
      </c>
      <c r="Z886">
        <f>AND(IF(metadata!F886="",FALSE,TRUE),exact(metadata!F886,"animal-associated habitat"))</f>
        <v>0</v>
      </c>
      <c r="AA886">
        <f>AND(IF(metadata!G886="",FALSE,TRUE),exact(metadata!G886,"mouse"))</f>
        <v>0</v>
      </c>
      <c r="AB886">
        <f>AND(IF(metadata!H886="",FALSE,TRUE),exact(metadata!H886,"Mus musculus"))</f>
        <v>0</v>
      </c>
      <c r="AC886">
        <f>AND(IF(metadata!I886="",FALSE,TRUE),exact(metadata!I886,"10090"))</f>
        <v>0</v>
      </c>
      <c r="AD886">
        <f>OR(AND(IF(metadata!J886="",FALSE,TRUE),OR(exact(metadata!J886,"not applicable"),exact(metadata!J886,"missing: not collected"),exact(metadata!J886,"missing: not provided"),exact(metadata!J886,"missing: restricted access"))),AND(IF(metadata!J886="",FALSE,ISNUMBER(VALUE(metadata!J886))),metadata!J886&gt;0))</f>
        <v>0</v>
      </c>
      <c r="AE886">
        <f>AND(IF(metadata!K886="",FALSE,TRUE),exact(metadata!K886,"g"))</f>
        <v>0</v>
      </c>
    </row>
    <row r="887" spans="1:31">
      <c r="A887" s="5">
        <f>IF(B887=" "," ",HYPERLINK(CONCATENATE("#metadata!",ADDRESS(INDEX($Q$2:$Q$1001,MATCH(ROWS($O$2:O887),$O$2:$O$1001,0),0),1)),INDEX($T$2:$T$1001,MATCH(ROWS($O$2:O887),$O$2:$O$1001,0),0)))</f>
        <v>0</v>
      </c>
      <c r="B887" s="4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4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4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4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4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4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4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4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4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4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OR(AND(IF(metadata!C887="",FALSE,TRUE),OR(exact(metadata!C887,"not applicable"),exact(metadata!C887,"missing: not collected"),exact(metadata!C887,"missing: not provided"),exact(metadata!C887,"missing: restricted access"))),AND(IF(metadata!C887="",FALSE,ISNUMBER(VALUE(metadata!C887))),metadata!C887&gt;0))</f>
        <v>0</v>
      </c>
      <c r="X887">
        <f>AND(IF(metadata!D887="",FALSE,TRUE),exact(metadata!D887,"weeks"))</f>
        <v>0</v>
      </c>
      <c r="Y887">
        <f>AND(IF(metadata!E887="",FALSE,TRUE),exact(metadata!E887,"urban biome"))</f>
        <v>0</v>
      </c>
      <c r="Z887">
        <f>AND(IF(metadata!F887="",FALSE,TRUE),exact(metadata!F887,"animal-associated habitat"))</f>
        <v>0</v>
      </c>
      <c r="AA887">
        <f>AND(IF(metadata!G887="",FALSE,TRUE),exact(metadata!G887,"mouse"))</f>
        <v>0</v>
      </c>
      <c r="AB887">
        <f>AND(IF(metadata!H887="",FALSE,TRUE),exact(metadata!H887,"Mus musculus"))</f>
        <v>0</v>
      </c>
      <c r="AC887">
        <f>AND(IF(metadata!I887="",FALSE,TRUE),exact(metadata!I887,"10090"))</f>
        <v>0</v>
      </c>
      <c r="AD887">
        <f>OR(AND(IF(metadata!J887="",FALSE,TRUE),OR(exact(metadata!J887,"not applicable"),exact(metadata!J887,"missing: not collected"),exact(metadata!J887,"missing: not provided"),exact(metadata!J887,"missing: restricted access"))),AND(IF(metadata!J887="",FALSE,ISNUMBER(VALUE(metadata!J887))),metadata!J887&gt;0))</f>
        <v>0</v>
      </c>
      <c r="AE887">
        <f>AND(IF(metadata!K887="",FALSE,TRUE),exact(metadata!K887,"g"))</f>
        <v>0</v>
      </c>
    </row>
    <row r="888" spans="1:31">
      <c r="A888" s="5">
        <f>IF(B888=" "," ",HYPERLINK(CONCATENATE("#metadata!",ADDRESS(INDEX($Q$2:$Q$1001,MATCH(ROWS($O$2:O888),$O$2:$O$1001,0),0),1)),INDEX($T$2:$T$1001,MATCH(ROWS($O$2:O888),$O$2:$O$1001,0),0)))</f>
        <v>0</v>
      </c>
      <c r="B888" s="4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4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4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4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4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4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4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4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4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4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OR(AND(IF(metadata!C888="",FALSE,TRUE),OR(exact(metadata!C888,"not applicable"),exact(metadata!C888,"missing: not collected"),exact(metadata!C888,"missing: not provided"),exact(metadata!C888,"missing: restricted access"))),AND(IF(metadata!C888="",FALSE,ISNUMBER(VALUE(metadata!C888))),metadata!C888&gt;0))</f>
        <v>0</v>
      </c>
      <c r="X888">
        <f>AND(IF(metadata!D888="",FALSE,TRUE),exact(metadata!D888,"weeks"))</f>
        <v>0</v>
      </c>
      <c r="Y888">
        <f>AND(IF(metadata!E888="",FALSE,TRUE),exact(metadata!E888,"urban biome"))</f>
        <v>0</v>
      </c>
      <c r="Z888">
        <f>AND(IF(metadata!F888="",FALSE,TRUE),exact(metadata!F888,"animal-associated habitat"))</f>
        <v>0</v>
      </c>
      <c r="AA888">
        <f>AND(IF(metadata!G888="",FALSE,TRUE),exact(metadata!G888,"mouse"))</f>
        <v>0</v>
      </c>
      <c r="AB888">
        <f>AND(IF(metadata!H888="",FALSE,TRUE),exact(metadata!H888,"Mus musculus"))</f>
        <v>0</v>
      </c>
      <c r="AC888">
        <f>AND(IF(metadata!I888="",FALSE,TRUE),exact(metadata!I888,"10090"))</f>
        <v>0</v>
      </c>
      <c r="AD888">
        <f>OR(AND(IF(metadata!J888="",FALSE,TRUE),OR(exact(metadata!J888,"not applicable"),exact(metadata!J888,"missing: not collected"),exact(metadata!J888,"missing: not provided"),exact(metadata!J888,"missing: restricted access"))),AND(IF(metadata!J888="",FALSE,ISNUMBER(VALUE(metadata!J888))),metadata!J888&gt;0))</f>
        <v>0</v>
      </c>
      <c r="AE888">
        <f>AND(IF(metadata!K888="",FALSE,TRUE),exact(metadata!K888,"g"))</f>
        <v>0</v>
      </c>
    </row>
    <row r="889" spans="1:31">
      <c r="A889" s="5">
        <f>IF(B889=" "," ",HYPERLINK(CONCATENATE("#metadata!",ADDRESS(INDEX($Q$2:$Q$1001,MATCH(ROWS($O$2:O889),$O$2:$O$1001,0),0),1)),INDEX($T$2:$T$1001,MATCH(ROWS($O$2:O889),$O$2:$O$1001,0),0)))</f>
        <v>0</v>
      </c>
      <c r="B889" s="4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4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4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4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4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4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4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4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4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4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OR(AND(IF(metadata!C889="",FALSE,TRUE),OR(exact(metadata!C889,"not applicable"),exact(metadata!C889,"missing: not collected"),exact(metadata!C889,"missing: not provided"),exact(metadata!C889,"missing: restricted access"))),AND(IF(metadata!C889="",FALSE,ISNUMBER(VALUE(metadata!C889))),metadata!C889&gt;0))</f>
        <v>0</v>
      </c>
      <c r="X889">
        <f>AND(IF(metadata!D889="",FALSE,TRUE),exact(metadata!D889,"weeks"))</f>
        <v>0</v>
      </c>
      <c r="Y889">
        <f>AND(IF(metadata!E889="",FALSE,TRUE),exact(metadata!E889,"urban biome"))</f>
        <v>0</v>
      </c>
      <c r="Z889">
        <f>AND(IF(metadata!F889="",FALSE,TRUE),exact(metadata!F889,"animal-associated habitat"))</f>
        <v>0</v>
      </c>
      <c r="AA889">
        <f>AND(IF(metadata!G889="",FALSE,TRUE),exact(metadata!G889,"mouse"))</f>
        <v>0</v>
      </c>
      <c r="AB889">
        <f>AND(IF(metadata!H889="",FALSE,TRUE),exact(metadata!H889,"Mus musculus"))</f>
        <v>0</v>
      </c>
      <c r="AC889">
        <f>AND(IF(metadata!I889="",FALSE,TRUE),exact(metadata!I889,"10090"))</f>
        <v>0</v>
      </c>
      <c r="AD889">
        <f>OR(AND(IF(metadata!J889="",FALSE,TRUE),OR(exact(metadata!J889,"not applicable"),exact(metadata!J889,"missing: not collected"),exact(metadata!J889,"missing: not provided"),exact(metadata!J889,"missing: restricted access"))),AND(IF(metadata!J889="",FALSE,ISNUMBER(VALUE(metadata!J889))),metadata!J889&gt;0))</f>
        <v>0</v>
      </c>
      <c r="AE889">
        <f>AND(IF(metadata!K889="",FALSE,TRUE),exact(metadata!K889,"g"))</f>
        <v>0</v>
      </c>
    </row>
    <row r="890" spans="1:31">
      <c r="A890" s="5">
        <f>IF(B890=" "," ",HYPERLINK(CONCATENATE("#metadata!",ADDRESS(INDEX($Q$2:$Q$1001,MATCH(ROWS($O$2:O890),$O$2:$O$1001,0),0),1)),INDEX($T$2:$T$1001,MATCH(ROWS($O$2:O890),$O$2:$O$1001,0),0)))</f>
        <v>0</v>
      </c>
      <c r="B890" s="4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4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4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4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4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4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4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4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4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4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OR(AND(IF(metadata!C890="",FALSE,TRUE),OR(exact(metadata!C890,"not applicable"),exact(metadata!C890,"missing: not collected"),exact(metadata!C890,"missing: not provided"),exact(metadata!C890,"missing: restricted access"))),AND(IF(metadata!C890="",FALSE,ISNUMBER(VALUE(metadata!C890))),metadata!C890&gt;0))</f>
        <v>0</v>
      </c>
      <c r="X890">
        <f>AND(IF(metadata!D890="",FALSE,TRUE),exact(metadata!D890,"weeks"))</f>
        <v>0</v>
      </c>
      <c r="Y890">
        <f>AND(IF(metadata!E890="",FALSE,TRUE),exact(metadata!E890,"urban biome"))</f>
        <v>0</v>
      </c>
      <c r="Z890">
        <f>AND(IF(metadata!F890="",FALSE,TRUE),exact(metadata!F890,"animal-associated habitat"))</f>
        <v>0</v>
      </c>
      <c r="AA890">
        <f>AND(IF(metadata!G890="",FALSE,TRUE),exact(metadata!G890,"mouse"))</f>
        <v>0</v>
      </c>
      <c r="AB890">
        <f>AND(IF(metadata!H890="",FALSE,TRUE),exact(metadata!H890,"Mus musculus"))</f>
        <v>0</v>
      </c>
      <c r="AC890">
        <f>AND(IF(metadata!I890="",FALSE,TRUE),exact(metadata!I890,"10090"))</f>
        <v>0</v>
      </c>
      <c r="AD890">
        <f>OR(AND(IF(metadata!J890="",FALSE,TRUE),OR(exact(metadata!J890,"not applicable"),exact(metadata!J890,"missing: not collected"),exact(metadata!J890,"missing: not provided"),exact(metadata!J890,"missing: restricted access"))),AND(IF(metadata!J890="",FALSE,ISNUMBER(VALUE(metadata!J890))),metadata!J890&gt;0))</f>
        <v>0</v>
      </c>
      <c r="AE890">
        <f>AND(IF(metadata!K890="",FALSE,TRUE),exact(metadata!K890,"g"))</f>
        <v>0</v>
      </c>
    </row>
    <row r="891" spans="1:31">
      <c r="A891" s="5">
        <f>IF(B891=" "," ",HYPERLINK(CONCATENATE("#metadata!",ADDRESS(INDEX($Q$2:$Q$1001,MATCH(ROWS($O$2:O891),$O$2:$O$1001,0),0),1)),INDEX($T$2:$T$1001,MATCH(ROWS($O$2:O891),$O$2:$O$1001,0),0)))</f>
        <v>0</v>
      </c>
      <c r="B891" s="4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4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4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4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4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4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4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4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4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4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OR(AND(IF(metadata!C891="",FALSE,TRUE),OR(exact(metadata!C891,"not applicable"),exact(metadata!C891,"missing: not collected"),exact(metadata!C891,"missing: not provided"),exact(metadata!C891,"missing: restricted access"))),AND(IF(metadata!C891="",FALSE,ISNUMBER(VALUE(metadata!C891))),metadata!C891&gt;0))</f>
        <v>0</v>
      </c>
      <c r="X891">
        <f>AND(IF(metadata!D891="",FALSE,TRUE),exact(metadata!D891,"weeks"))</f>
        <v>0</v>
      </c>
      <c r="Y891">
        <f>AND(IF(metadata!E891="",FALSE,TRUE),exact(metadata!E891,"urban biome"))</f>
        <v>0</v>
      </c>
      <c r="Z891">
        <f>AND(IF(metadata!F891="",FALSE,TRUE),exact(metadata!F891,"animal-associated habitat"))</f>
        <v>0</v>
      </c>
      <c r="AA891">
        <f>AND(IF(metadata!G891="",FALSE,TRUE),exact(metadata!G891,"mouse"))</f>
        <v>0</v>
      </c>
      <c r="AB891">
        <f>AND(IF(metadata!H891="",FALSE,TRUE),exact(metadata!H891,"Mus musculus"))</f>
        <v>0</v>
      </c>
      <c r="AC891">
        <f>AND(IF(metadata!I891="",FALSE,TRUE),exact(metadata!I891,"10090"))</f>
        <v>0</v>
      </c>
      <c r="AD891">
        <f>OR(AND(IF(metadata!J891="",FALSE,TRUE),OR(exact(metadata!J891,"not applicable"),exact(metadata!J891,"missing: not collected"),exact(metadata!J891,"missing: not provided"),exact(metadata!J891,"missing: restricted access"))),AND(IF(metadata!J891="",FALSE,ISNUMBER(VALUE(metadata!J891))),metadata!J891&gt;0))</f>
        <v>0</v>
      </c>
      <c r="AE891">
        <f>AND(IF(metadata!K891="",FALSE,TRUE),exact(metadata!K891,"g"))</f>
        <v>0</v>
      </c>
    </row>
    <row r="892" spans="1:31">
      <c r="A892" s="5">
        <f>IF(B892=" "," ",HYPERLINK(CONCATENATE("#metadata!",ADDRESS(INDEX($Q$2:$Q$1001,MATCH(ROWS($O$2:O892),$O$2:$O$1001,0),0),1)),INDEX($T$2:$T$1001,MATCH(ROWS($O$2:O892),$O$2:$O$1001,0),0)))</f>
        <v>0</v>
      </c>
      <c r="B892" s="4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4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4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4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4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4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4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4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4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4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OR(AND(IF(metadata!C892="",FALSE,TRUE),OR(exact(metadata!C892,"not applicable"),exact(metadata!C892,"missing: not collected"),exact(metadata!C892,"missing: not provided"),exact(metadata!C892,"missing: restricted access"))),AND(IF(metadata!C892="",FALSE,ISNUMBER(VALUE(metadata!C892))),metadata!C892&gt;0))</f>
        <v>0</v>
      </c>
      <c r="X892">
        <f>AND(IF(metadata!D892="",FALSE,TRUE),exact(metadata!D892,"weeks"))</f>
        <v>0</v>
      </c>
      <c r="Y892">
        <f>AND(IF(metadata!E892="",FALSE,TRUE),exact(metadata!E892,"urban biome"))</f>
        <v>0</v>
      </c>
      <c r="Z892">
        <f>AND(IF(metadata!F892="",FALSE,TRUE),exact(metadata!F892,"animal-associated habitat"))</f>
        <v>0</v>
      </c>
      <c r="AA892">
        <f>AND(IF(metadata!G892="",FALSE,TRUE),exact(metadata!G892,"mouse"))</f>
        <v>0</v>
      </c>
      <c r="AB892">
        <f>AND(IF(metadata!H892="",FALSE,TRUE),exact(metadata!H892,"Mus musculus"))</f>
        <v>0</v>
      </c>
      <c r="AC892">
        <f>AND(IF(metadata!I892="",FALSE,TRUE),exact(metadata!I892,"10090"))</f>
        <v>0</v>
      </c>
      <c r="AD892">
        <f>OR(AND(IF(metadata!J892="",FALSE,TRUE),OR(exact(metadata!J892,"not applicable"),exact(metadata!J892,"missing: not collected"),exact(metadata!J892,"missing: not provided"),exact(metadata!J892,"missing: restricted access"))),AND(IF(metadata!J892="",FALSE,ISNUMBER(VALUE(metadata!J892))),metadata!J892&gt;0))</f>
        <v>0</v>
      </c>
      <c r="AE892">
        <f>AND(IF(metadata!K892="",FALSE,TRUE),exact(metadata!K892,"g"))</f>
        <v>0</v>
      </c>
    </row>
    <row r="893" spans="1:31">
      <c r="A893" s="5">
        <f>IF(B893=" "," ",HYPERLINK(CONCATENATE("#metadata!",ADDRESS(INDEX($Q$2:$Q$1001,MATCH(ROWS($O$2:O893),$O$2:$O$1001,0),0),1)),INDEX($T$2:$T$1001,MATCH(ROWS($O$2:O893),$O$2:$O$1001,0),0)))</f>
        <v>0</v>
      </c>
      <c r="B893" s="4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4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4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4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4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4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4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4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4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4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OR(AND(IF(metadata!C893="",FALSE,TRUE),OR(exact(metadata!C893,"not applicable"),exact(metadata!C893,"missing: not collected"),exact(metadata!C893,"missing: not provided"),exact(metadata!C893,"missing: restricted access"))),AND(IF(metadata!C893="",FALSE,ISNUMBER(VALUE(metadata!C893))),metadata!C893&gt;0))</f>
        <v>0</v>
      </c>
      <c r="X893">
        <f>AND(IF(metadata!D893="",FALSE,TRUE),exact(metadata!D893,"weeks"))</f>
        <v>0</v>
      </c>
      <c r="Y893">
        <f>AND(IF(metadata!E893="",FALSE,TRUE),exact(metadata!E893,"urban biome"))</f>
        <v>0</v>
      </c>
      <c r="Z893">
        <f>AND(IF(metadata!F893="",FALSE,TRUE),exact(metadata!F893,"animal-associated habitat"))</f>
        <v>0</v>
      </c>
      <c r="AA893">
        <f>AND(IF(metadata!G893="",FALSE,TRUE),exact(metadata!G893,"mouse"))</f>
        <v>0</v>
      </c>
      <c r="AB893">
        <f>AND(IF(metadata!H893="",FALSE,TRUE),exact(metadata!H893,"Mus musculus"))</f>
        <v>0</v>
      </c>
      <c r="AC893">
        <f>AND(IF(metadata!I893="",FALSE,TRUE),exact(metadata!I893,"10090"))</f>
        <v>0</v>
      </c>
      <c r="AD893">
        <f>OR(AND(IF(metadata!J893="",FALSE,TRUE),OR(exact(metadata!J893,"not applicable"),exact(metadata!J893,"missing: not collected"),exact(metadata!J893,"missing: not provided"),exact(metadata!J893,"missing: restricted access"))),AND(IF(metadata!J893="",FALSE,ISNUMBER(VALUE(metadata!J893))),metadata!J893&gt;0))</f>
        <v>0</v>
      </c>
      <c r="AE893">
        <f>AND(IF(metadata!K893="",FALSE,TRUE),exact(metadata!K893,"g"))</f>
        <v>0</v>
      </c>
    </row>
    <row r="894" spans="1:31">
      <c r="A894" s="5">
        <f>IF(B894=" "," ",HYPERLINK(CONCATENATE("#metadata!",ADDRESS(INDEX($Q$2:$Q$1001,MATCH(ROWS($O$2:O894),$O$2:$O$1001,0),0),1)),INDEX($T$2:$T$1001,MATCH(ROWS($O$2:O894),$O$2:$O$1001,0),0)))</f>
        <v>0</v>
      </c>
      <c r="B894" s="4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4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4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4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4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4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4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4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4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4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OR(AND(IF(metadata!C894="",FALSE,TRUE),OR(exact(metadata!C894,"not applicable"),exact(metadata!C894,"missing: not collected"),exact(metadata!C894,"missing: not provided"),exact(metadata!C894,"missing: restricted access"))),AND(IF(metadata!C894="",FALSE,ISNUMBER(VALUE(metadata!C894))),metadata!C894&gt;0))</f>
        <v>0</v>
      </c>
      <c r="X894">
        <f>AND(IF(metadata!D894="",FALSE,TRUE),exact(metadata!D894,"weeks"))</f>
        <v>0</v>
      </c>
      <c r="Y894">
        <f>AND(IF(metadata!E894="",FALSE,TRUE),exact(metadata!E894,"urban biome"))</f>
        <v>0</v>
      </c>
      <c r="Z894">
        <f>AND(IF(metadata!F894="",FALSE,TRUE),exact(metadata!F894,"animal-associated habitat"))</f>
        <v>0</v>
      </c>
      <c r="AA894">
        <f>AND(IF(metadata!G894="",FALSE,TRUE),exact(metadata!G894,"mouse"))</f>
        <v>0</v>
      </c>
      <c r="AB894">
        <f>AND(IF(metadata!H894="",FALSE,TRUE),exact(metadata!H894,"Mus musculus"))</f>
        <v>0</v>
      </c>
      <c r="AC894">
        <f>AND(IF(metadata!I894="",FALSE,TRUE),exact(metadata!I894,"10090"))</f>
        <v>0</v>
      </c>
      <c r="AD894">
        <f>OR(AND(IF(metadata!J894="",FALSE,TRUE),OR(exact(metadata!J894,"not applicable"),exact(metadata!J894,"missing: not collected"),exact(metadata!J894,"missing: not provided"),exact(metadata!J894,"missing: restricted access"))),AND(IF(metadata!J894="",FALSE,ISNUMBER(VALUE(metadata!J894))),metadata!J894&gt;0))</f>
        <v>0</v>
      </c>
      <c r="AE894">
        <f>AND(IF(metadata!K894="",FALSE,TRUE),exact(metadata!K894,"g"))</f>
        <v>0</v>
      </c>
    </row>
    <row r="895" spans="1:31">
      <c r="A895" s="5">
        <f>IF(B895=" "," ",HYPERLINK(CONCATENATE("#metadata!",ADDRESS(INDEX($Q$2:$Q$1001,MATCH(ROWS($O$2:O895),$O$2:$O$1001,0),0),1)),INDEX($T$2:$T$1001,MATCH(ROWS($O$2:O895),$O$2:$O$1001,0),0)))</f>
        <v>0</v>
      </c>
      <c r="B895" s="4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4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4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4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4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4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4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4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4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4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OR(AND(IF(metadata!C895="",FALSE,TRUE),OR(exact(metadata!C895,"not applicable"),exact(metadata!C895,"missing: not collected"),exact(metadata!C895,"missing: not provided"),exact(metadata!C895,"missing: restricted access"))),AND(IF(metadata!C895="",FALSE,ISNUMBER(VALUE(metadata!C895))),metadata!C895&gt;0))</f>
        <v>0</v>
      </c>
      <c r="X895">
        <f>AND(IF(metadata!D895="",FALSE,TRUE),exact(metadata!D895,"weeks"))</f>
        <v>0</v>
      </c>
      <c r="Y895">
        <f>AND(IF(metadata!E895="",FALSE,TRUE),exact(metadata!E895,"urban biome"))</f>
        <v>0</v>
      </c>
      <c r="Z895">
        <f>AND(IF(metadata!F895="",FALSE,TRUE),exact(metadata!F895,"animal-associated habitat"))</f>
        <v>0</v>
      </c>
      <c r="AA895">
        <f>AND(IF(metadata!G895="",FALSE,TRUE),exact(metadata!G895,"mouse"))</f>
        <v>0</v>
      </c>
      <c r="AB895">
        <f>AND(IF(metadata!H895="",FALSE,TRUE),exact(metadata!H895,"Mus musculus"))</f>
        <v>0</v>
      </c>
      <c r="AC895">
        <f>AND(IF(metadata!I895="",FALSE,TRUE),exact(metadata!I895,"10090"))</f>
        <v>0</v>
      </c>
      <c r="AD895">
        <f>OR(AND(IF(metadata!J895="",FALSE,TRUE),OR(exact(metadata!J895,"not applicable"),exact(metadata!J895,"missing: not collected"),exact(metadata!J895,"missing: not provided"),exact(metadata!J895,"missing: restricted access"))),AND(IF(metadata!J895="",FALSE,ISNUMBER(VALUE(metadata!J895))),metadata!J895&gt;0))</f>
        <v>0</v>
      </c>
      <c r="AE895">
        <f>AND(IF(metadata!K895="",FALSE,TRUE),exact(metadata!K895,"g"))</f>
        <v>0</v>
      </c>
    </row>
    <row r="896" spans="1:31">
      <c r="A896" s="5">
        <f>IF(B896=" "," ",HYPERLINK(CONCATENATE("#metadata!",ADDRESS(INDEX($Q$2:$Q$1001,MATCH(ROWS($O$2:O896),$O$2:$O$1001,0),0),1)),INDEX($T$2:$T$1001,MATCH(ROWS($O$2:O896),$O$2:$O$1001,0),0)))</f>
        <v>0</v>
      </c>
      <c r="B896" s="4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4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4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4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4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4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4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4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4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4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OR(AND(IF(metadata!C896="",FALSE,TRUE),OR(exact(metadata!C896,"not applicable"),exact(metadata!C896,"missing: not collected"),exact(metadata!C896,"missing: not provided"),exact(metadata!C896,"missing: restricted access"))),AND(IF(metadata!C896="",FALSE,ISNUMBER(VALUE(metadata!C896))),metadata!C896&gt;0))</f>
        <v>0</v>
      </c>
      <c r="X896">
        <f>AND(IF(metadata!D896="",FALSE,TRUE),exact(metadata!D896,"weeks"))</f>
        <v>0</v>
      </c>
      <c r="Y896">
        <f>AND(IF(metadata!E896="",FALSE,TRUE),exact(metadata!E896,"urban biome"))</f>
        <v>0</v>
      </c>
      <c r="Z896">
        <f>AND(IF(metadata!F896="",FALSE,TRUE),exact(metadata!F896,"animal-associated habitat"))</f>
        <v>0</v>
      </c>
      <c r="AA896">
        <f>AND(IF(metadata!G896="",FALSE,TRUE),exact(metadata!G896,"mouse"))</f>
        <v>0</v>
      </c>
      <c r="AB896">
        <f>AND(IF(metadata!H896="",FALSE,TRUE),exact(metadata!H896,"Mus musculus"))</f>
        <v>0</v>
      </c>
      <c r="AC896">
        <f>AND(IF(metadata!I896="",FALSE,TRUE),exact(metadata!I896,"10090"))</f>
        <v>0</v>
      </c>
      <c r="AD896">
        <f>OR(AND(IF(metadata!J896="",FALSE,TRUE),OR(exact(metadata!J896,"not applicable"),exact(metadata!J896,"missing: not collected"),exact(metadata!J896,"missing: not provided"),exact(metadata!J896,"missing: restricted access"))),AND(IF(metadata!J896="",FALSE,ISNUMBER(VALUE(metadata!J896))),metadata!J896&gt;0))</f>
        <v>0</v>
      </c>
      <c r="AE896">
        <f>AND(IF(metadata!K896="",FALSE,TRUE),exact(metadata!K896,"g"))</f>
        <v>0</v>
      </c>
    </row>
    <row r="897" spans="1:31">
      <c r="A897" s="5">
        <f>IF(B897=" "," ",HYPERLINK(CONCATENATE("#metadata!",ADDRESS(INDEX($Q$2:$Q$1001,MATCH(ROWS($O$2:O897),$O$2:$O$1001,0),0),1)),INDEX($T$2:$T$1001,MATCH(ROWS($O$2:O897),$O$2:$O$1001,0),0)))</f>
        <v>0</v>
      </c>
      <c r="B897" s="4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4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4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4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4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4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4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4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4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4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OR(AND(IF(metadata!C897="",FALSE,TRUE),OR(exact(metadata!C897,"not applicable"),exact(metadata!C897,"missing: not collected"),exact(metadata!C897,"missing: not provided"),exact(metadata!C897,"missing: restricted access"))),AND(IF(metadata!C897="",FALSE,ISNUMBER(VALUE(metadata!C897))),metadata!C897&gt;0))</f>
        <v>0</v>
      </c>
      <c r="X897">
        <f>AND(IF(metadata!D897="",FALSE,TRUE),exact(metadata!D897,"weeks"))</f>
        <v>0</v>
      </c>
      <c r="Y897">
        <f>AND(IF(metadata!E897="",FALSE,TRUE),exact(metadata!E897,"urban biome"))</f>
        <v>0</v>
      </c>
      <c r="Z897">
        <f>AND(IF(metadata!F897="",FALSE,TRUE),exact(metadata!F897,"animal-associated habitat"))</f>
        <v>0</v>
      </c>
      <c r="AA897">
        <f>AND(IF(metadata!G897="",FALSE,TRUE),exact(metadata!G897,"mouse"))</f>
        <v>0</v>
      </c>
      <c r="AB897">
        <f>AND(IF(metadata!H897="",FALSE,TRUE),exact(metadata!H897,"Mus musculus"))</f>
        <v>0</v>
      </c>
      <c r="AC897">
        <f>AND(IF(metadata!I897="",FALSE,TRUE),exact(metadata!I897,"10090"))</f>
        <v>0</v>
      </c>
      <c r="AD897">
        <f>OR(AND(IF(metadata!J897="",FALSE,TRUE),OR(exact(metadata!J897,"not applicable"),exact(metadata!J897,"missing: not collected"),exact(metadata!J897,"missing: not provided"),exact(metadata!J897,"missing: restricted access"))),AND(IF(metadata!J897="",FALSE,ISNUMBER(VALUE(metadata!J897))),metadata!J897&gt;0))</f>
        <v>0</v>
      </c>
      <c r="AE897">
        <f>AND(IF(metadata!K897="",FALSE,TRUE),exact(metadata!K897,"g"))</f>
        <v>0</v>
      </c>
    </row>
    <row r="898" spans="1:31">
      <c r="A898" s="5">
        <f>IF(B898=" "," ",HYPERLINK(CONCATENATE("#metadata!",ADDRESS(INDEX($Q$2:$Q$1001,MATCH(ROWS($O$2:O898),$O$2:$O$1001,0),0),1)),INDEX($T$2:$T$1001,MATCH(ROWS($O$2:O898),$O$2:$O$1001,0),0)))</f>
        <v>0</v>
      </c>
      <c r="B898" s="4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4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4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4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4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4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4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4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4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4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OR(AND(IF(metadata!C898="",FALSE,TRUE),OR(exact(metadata!C898,"not applicable"),exact(metadata!C898,"missing: not collected"),exact(metadata!C898,"missing: not provided"),exact(metadata!C898,"missing: restricted access"))),AND(IF(metadata!C898="",FALSE,ISNUMBER(VALUE(metadata!C898))),metadata!C898&gt;0))</f>
        <v>0</v>
      </c>
      <c r="X898">
        <f>AND(IF(metadata!D898="",FALSE,TRUE),exact(metadata!D898,"weeks"))</f>
        <v>0</v>
      </c>
      <c r="Y898">
        <f>AND(IF(metadata!E898="",FALSE,TRUE),exact(metadata!E898,"urban biome"))</f>
        <v>0</v>
      </c>
      <c r="Z898">
        <f>AND(IF(metadata!F898="",FALSE,TRUE),exact(metadata!F898,"animal-associated habitat"))</f>
        <v>0</v>
      </c>
      <c r="AA898">
        <f>AND(IF(metadata!G898="",FALSE,TRUE),exact(metadata!G898,"mouse"))</f>
        <v>0</v>
      </c>
      <c r="AB898">
        <f>AND(IF(metadata!H898="",FALSE,TRUE),exact(metadata!H898,"Mus musculus"))</f>
        <v>0</v>
      </c>
      <c r="AC898">
        <f>AND(IF(metadata!I898="",FALSE,TRUE),exact(metadata!I898,"10090"))</f>
        <v>0</v>
      </c>
      <c r="AD898">
        <f>OR(AND(IF(metadata!J898="",FALSE,TRUE),OR(exact(metadata!J898,"not applicable"),exact(metadata!J898,"missing: not collected"),exact(metadata!J898,"missing: not provided"),exact(metadata!J898,"missing: restricted access"))),AND(IF(metadata!J898="",FALSE,ISNUMBER(VALUE(metadata!J898))),metadata!J898&gt;0))</f>
        <v>0</v>
      </c>
      <c r="AE898">
        <f>AND(IF(metadata!K898="",FALSE,TRUE),exact(metadata!K898,"g"))</f>
        <v>0</v>
      </c>
    </row>
    <row r="899" spans="1:31">
      <c r="A899" s="5">
        <f>IF(B899=" "," ",HYPERLINK(CONCATENATE("#metadata!",ADDRESS(INDEX($Q$2:$Q$1001,MATCH(ROWS($O$2:O899),$O$2:$O$1001,0),0),1)),INDEX($T$2:$T$1001,MATCH(ROWS($O$2:O899),$O$2:$O$1001,0),0)))</f>
        <v>0</v>
      </c>
      <c r="B899" s="4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4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4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4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4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4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4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4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4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4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OR(AND(IF(metadata!C899="",FALSE,TRUE),OR(exact(metadata!C899,"not applicable"),exact(metadata!C899,"missing: not collected"),exact(metadata!C899,"missing: not provided"),exact(metadata!C899,"missing: restricted access"))),AND(IF(metadata!C899="",FALSE,ISNUMBER(VALUE(metadata!C899))),metadata!C899&gt;0))</f>
        <v>0</v>
      </c>
      <c r="X899">
        <f>AND(IF(metadata!D899="",FALSE,TRUE),exact(metadata!D899,"weeks"))</f>
        <v>0</v>
      </c>
      <c r="Y899">
        <f>AND(IF(metadata!E899="",FALSE,TRUE),exact(metadata!E899,"urban biome"))</f>
        <v>0</v>
      </c>
      <c r="Z899">
        <f>AND(IF(metadata!F899="",FALSE,TRUE),exact(metadata!F899,"animal-associated habitat"))</f>
        <v>0</v>
      </c>
      <c r="AA899">
        <f>AND(IF(metadata!G899="",FALSE,TRUE),exact(metadata!G899,"mouse"))</f>
        <v>0</v>
      </c>
      <c r="AB899">
        <f>AND(IF(metadata!H899="",FALSE,TRUE),exact(metadata!H899,"Mus musculus"))</f>
        <v>0</v>
      </c>
      <c r="AC899">
        <f>AND(IF(metadata!I899="",FALSE,TRUE),exact(metadata!I899,"10090"))</f>
        <v>0</v>
      </c>
      <c r="AD899">
        <f>OR(AND(IF(metadata!J899="",FALSE,TRUE),OR(exact(metadata!J899,"not applicable"),exact(metadata!J899,"missing: not collected"),exact(metadata!J899,"missing: not provided"),exact(metadata!J899,"missing: restricted access"))),AND(IF(metadata!J899="",FALSE,ISNUMBER(VALUE(metadata!J899))),metadata!J899&gt;0))</f>
        <v>0</v>
      </c>
      <c r="AE899">
        <f>AND(IF(metadata!K899="",FALSE,TRUE),exact(metadata!K899,"g"))</f>
        <v>0</v>
      </c>
    </row>
    <row r="900" spans="1:31">
      <c r="A900" s="5">
        <f>IF(B900=" "," ",HYPERLINK(CONCATENATE("#metadata!",ADDRESS(INDEX($Q$2:$Q$1001,MATCH(ROWS($O$2:O900),$O$2:$O$1001,0),0),1)),INDEX($T$2:$T$1001,MATCH(ROWS($O$2:O900),$O$2:$O$1001,0),0)))</f>
        <v>0</v>
      </c>
      <c r="B900" s="4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4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4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4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4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4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4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4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4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4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OR(AND(IF(metadata!C900="",FALSE,TRUE),OR(exact(metadata!C900,"not applicable"),exact(metadata!C900,"missing: not collected"),exact(metadata!C900,"missing: not provided"),exact(metadata!C900,"missing: restricted access"))),AND(IF(metadata!C900="",FALSE,ISNUMBER(VALUE(metadata!C900))),metadata!C900&gt;0))</f>
        <v>0</v>
      </c>
      <c r="X900">
        <f>AND(IF(metadata!D900="",FALSE,TRUE),exact(metadata!D900,"weeks"))</f>
        <v>0</v>
      </c>
      <c r="Y900">
        <f>AND(IF(metadata!E900="",FALSE,TRUE),exact(metadata!E900,"urban biome"))</f>
        <v>0</v>
      </c>
      <c r="Z900">
        <f>AND(IF(metadata!F900="",FALSE,TRUE),exact(metadata!F900,"animal-associated habitat"))</f>
        <v>0</v>
      </c>
      <c r="AA900">
        <f>AND(IF(metadata!G900="",FALSE,TRUE),exact(metadata!G900,"mouse"))</f>
        <v>0</v>
      </c>
      <c r="AB900">
        <f>AND(IF(metadata!H900="",FALSE,TRUE),exact(metadata!H900,"Mus musculus"))</f>
        <v>0</v>
      </c>
      <c r="AC900">
        <f>AND(IF(metadata!I900="",FALSE,TRUE),exact(metadata!I900,"10090"))</f>
        <v>0</v>
      </c>
      <c r="AD900">
        <f>OR(AND(IF(metadata!J900="",FALSE,TRUE),OR(exact(metadata!J900,"not applicable"),exact(metadata!J900,"missing: not collected"),exact(metadata!J900,"missing: not provided"),exact(metadata!J900,"missing: restricted access"))),AND(IF(metadata!J900="",FALSE,ISNUMBER(VALUE(metadata!J900))),metadata!J900&gt;0))</f>
        <v>0</v>
      </c>
      <c r="AE900">
        <f>AND(IF(metadata!K900="",FALSE,TRUE),exact(metadata!K900,"g"))</f>
        <v>0</v>
      </c>
    </row>
    <row r="901" spans="1:31">
      <c r="A901" s="5">
        <f>IF(B901=" "," ",HYPERLINK(CONCATENATE("#metadata!",ADDRESS(INDEX($Q$2:$Q$1001,MATCH(ROWS($O$2:O901),$O$2:$O$1001,0),0),1)),INDEX($T$2:$T$1001,MATCH(ROWS($O$2:O901),$O$2:$O$1001,0),0)))</f>
        <v>0</v>
      </c>
      <c r="B901" s="4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4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4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4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4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4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4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4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4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4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OR(AND(IF(metadata!C901="",FALSE,TRUE),OR(exact(metadata!C901,"not applicable"),exact(metadata!C901,"missing: not collected"),exact(metadata!C901,"missing: not provided"),exact(metadata!C901,"missing: restricted access"))),AND(IF(metadata!C901="",FALSE,ISNUMBER(VALUE(metadata!C901))),metadata!C901&gt;0))</f>
        <v>0</v>
      </c>
      <c r="X901">
        <f>AND(IF(metadata!D901="",FALSE,TRUE),exact(metadata!D901,"weeks"))</f>
        <v>0</v>
      </c>
      <c r="Y901">
        <f>AND(IF(metadata!E901="",FALSE,TRUE),exact(metadata!E901,"urban biome"))</f>
        <v>0</v>
      </c>
      <c r="Z901">
        <f>AND(IF(metadata!F901="",FALSE,TRUE),exact(metadata!F901,"animal-associated habitat"))</f>
        <v>0</v>
      </c>
      <c r="AA901">
        <f>AND(IF(metadata!G901="",FALSE,TRUE),exact(metadata!G901,"mouse"))</f>
        <v>0</v>
      </c>
      <c r="AB901">
        <f>AND(IF(metadata!H901="",FALSE,TRUE),exact(metadata!H901,"Mus musculus"))</f>
        <v>0</v>
      </c>
      <c r="AC901">
        <f>AND(IF(metadata!I901="",FALSE,TRUE),exact(metadata!I901,"10090"))</f>
        <v>0</v>
      </c>
      <c r="AD901">
        <f>OR(AND(IF(metadata!J901="",FALSE,TRUE),OR(exact(metadata!J901,"not applicable"),exact(metadata!J901,"missing: not collected"),exact(metadata!J901,"missing: not provided"),exact(metadata!J901,"missing: restricted access"))),AND(IF(metadata!J901="",FALSE,ISNUMBER(VALUE(metadata!J901))),metadata!J901&gt;0))</f>
        <v>0</v>
      </c>
      <c r="AE901">
        <f>AND(IF(metadata!K901="",FALSE,TRUE),exact(metadata!K901,"g"))</f>
        <v>0</v>
      </c>
    </row>
    <row r="902" spans="1:31">
      <c r="A902" s="5">
        <f>IF(B902=" "," ",HYPERLINK(CONCATENATE("#metadata!",ADDRESS(INDEX($Q$2:$Q$1001,MATCH(ROWS($O$2:O902),$O$2:$O$1001,0),0),1)),INDEX($T$2:$T$1001,MATCH(ROWS($O$2:O902),$O$2:$O$1001,0),0)))</f>
        <v>0</v>
      </c>
      <c r="B902" s="4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4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4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4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4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4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4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4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4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4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OR(AND(IF(metadata!C902="",FALSE,TRUE),OR(exact(metadata!C902,"not applicable"),exact(metadata!C902,"missing: not collected"),exact(metadata!C902,"missing: not provided"),exact(metadata!C902,"missing: restricted access"))),AND(IF(metadata!C902="",FALSE,ISNUMBER(VALUE(metadata!C902))),metadata!C902&gt;0))</f>
        <v>0</v>
      </c>
      <c r="X902">
        <f>AND(IF(metadata!D902="",FALSE,TRUE),exact(metadata!D902,"weeks"))</f>
        <v>0</v>
      </c>
      <c r="Y902">
        <f>AND(IF(metadata!E902="",FALSE,TRUE),exact(metadata!E902,"urban biome"))</f>
        <v>0</v>
      </c>
      <c r="Z902">
        <f>AND(IF(metadata!F902="",FALSE,TRUE),exact(metadata!F902,"animal-associated habitat"))</f>
        <v>0</v>
      </c>
      <c r="AA902">
        <f>AND(IF(metadata!G902="",FALSE,TRUE),exact(metadata!G902,"mouse"))</f>
        <v>0</v>
      </c>
      <c r="AB902">
        <f>AND(IF(metadata!H902="",FALSE,TRUE),exact(metadata!H902,"Mus musculus"))</f>
        <v>0</v>
      </c>
      <c r="AC902">
        <f>AND(IF(metadata!I902="",FALSE,TRUE),exact(metadata!I902,"10090"))</f>
        <v>0</v>
      </c>
      <c r="AD902">
        <f>OR(AND(IF(metadata!J902="",FALSE,TRUE),OR(exact(metadata!J902,"not applicable"),exact(metadata!J902,"missing: not collected"),exact(metadata!J902,"missing: not provided"),exact(metadata!J902,"missing: restricted access"))),AND(IF(metadata!J902="",FALSE,ISNUMBER(VALUE(metadata!J902))),metadata!J902&gt;0))</f>
        <v>0</v>
      </c>
      <c r="AE902">
        <f>AND(IF(metadata!K902="",FALSE,TRUE),exact(metadata!K902,"g"))</f>
        <v>0</v>
      </c>
    </row>
    <row r="903" spans="1:31">
      <c r="A903" s="5">
        <f>IF(B903=" "," ",HYPERLINK(CONCATENATE("#metadata!",ADDRESS(INDEX($Q$2:$Q$1001,MATCH(ROWS($O$2:O903),$O$2:$O$1001,0),0),1)),INDEX($T$2:$T$1001,MATCH(ROWS($O$2:O903),$O$2:$O$1001,0),0)))</f>
        <v>0</v>
      </c>
      <c r="B903" s="4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4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4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4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4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4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4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4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4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4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OR(AND(IF(metadata!C903="",FALSE,TRUE),OR(exact(metadata!C903,"not applicable"),exact(metadata!C903,"missing: not collected"),exact(metadata!C903,"missing: not provided"),exact(metadata!C903,"missing: restricted access"))),AND(IF(metadata!C903="",FALSE,ISNUMBER(VALUE(metadata!C903))),metadata!C903&gt;0))</f>
        <v>0</v>
      </c>
      <c r="X903">
        <f>AND(IF(metadata!D903="",FALSE,TRUE),exact(metadata!D903,"weeks"))</f>
        <v>0</v>
      </c>
      <c r="Y903">
        <f>AND(IF(metadata!E903="",FALSE,TRUE),exact(metadata!E903,"urban biome"))</f>
        <v>0</v>
      </c>
      <c r="Z903">
        <f>AND(IF(metadata!F903="",FALSE,TRUE),exact(metadata!F903,"animal-associated habitat"))</f>
        <v>0</v>
      </c>
      <c r="AA903">
        <f>AND(IF(metadata!G903="",FALSE,TRUE),exact(metadata!G903,"mouse"))</f>
        <v>0</v>
      </c>
      <c r="AB903">
        <f>AND(IF(metadata!H903="",FALSE,TRUE),exact(metadata!H903,"Mus musculus"))</f>
        <v>0</v>
      </c>
      <c r="AC903">
        <f>AND(IF(metadata!I903="",FALSE,TRUE),exact(metadata!I903,"10090"))</f>
        <v>0</v>
      </c>
      <c r="AD903">
        <f>OR(AND(IF(metadata!J903="",FALSE,TRUE),OR(exact(metadata!J903,"not applicable"),exact(metadata!J903,"missing: not collected"),exact(metadata!J903,"missing: not provided"),exact(metadata!J903,"missing: restricted access"))),AND(IF(metadata!J903="",FALSE,ISNUMBER(VALUE(metadata!J903))),metadata!J903&gt;0))</f>
        <v>0</v>
      </c>
      <c r="AE903">
        <f>AND(IF(metadata!K903="",FALSE,TRUE),exact(metadata!K903,"g"))</f>
        <v>0</v>
      </c>
    </row>
    <row r="904" spans="1:31">
      <c r="A904" s="5">
        <f>IF(B904=" "," ",HYPERLINK(CONCATENATE("#metadata!",ADDRESS(INDEX($Q$2:$Q$1001,MATCH(ROWS($O$2:O904),$O$2:$O$1001,0),0),1)),INDEX($T$2:$T$1001,MATCH(ROWS($O$2:O904),$O$2:$O$1001,0),0)))</f>
        <v>0</v>
      </c>
      <c r="B904" s="4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4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4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4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4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4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4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4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4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4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OR(AND(IF(metadata!C904="",FALSE,TRUE),OR(exact(metadata!C904,"not applicable"),exact(metadata!C904,"missing: not collected"),exact(metadata!C904,"missing: not provided"),exact(metadata!C904,"missing: restricted access"))),AND(IF(metadata!C904="",FALSE,ISNUMBER(VALUE(metadata!C904))),metadata!C904&gt;0))</f>
        <v>0</v>
      </c>
      <c r="X904">
        <f>AND(IF(metadata!D904="",FALSE,TRUE),exact(metadata!D904,"weeks"))</f>
        <v>0</v>
      </c>
      <c r="Y904">
        <f>AND(IF(metadata!E904="",FALSE,TRUE),exact(metadata!E904,"urban biome"))</f>
        <v>0</v>
      </c>
      <c r="Z904">
        <f>AND(IF(metadata!F904="",FALSE,TRUE),exact(metadata!F904,"animal-associated habitat"))</f>
        <v>0</v>
      </c>
      <c r="AA904">
        <f>AND(IF(metadata!G904="",FALSE,TRUE),exact(metadata!G904,"mouse"))</f>
        <v>0</v>
      </c>
      <c r="AB904">
        <f>AND(IF(metadata!H904="",FALSE,TRUE),exact(metadata!H904,"Mus musculus"))</f>
        <v>0</v>
      </c>
      <c r="AC904">
        <f>AND(IF(metadata!I904="",FALSE,TRUE),exact(metadata!I904,"10090"))</f>
        <v>0</v>
      </c>
      <c r="AD904">
        <f>OR(AND(IF(metadata!J904="",FALSE,TRUE),OR(exact(metadata!J904,"not applicable"),exact(metadata!J904,"missing: not collected"),exact(metadata!J904,"missing: not provided"),exact(metadata!J904,"missing: restricted access"))),AND(IF(metadata!J904="",FALSE,ISNUMBER(VALUE(metadata!J904))),metadata!J904&gt;0))</f>
        <v>0</v>
      </c>
      <c r="AE904">
        <f>AND(IF(metadata!K904="",FALSE,TRUE),exact(metadata!K904,"g"))</f>
        <v>0</v>
      </c>
    </row>
    <row r="905" spans="1:31">
      <c r="A905" s="5">
        <f>IF(B905=" "," ",HYPERLINK(CONCATENATE("#metadata!",ADDRESS(INDEX($Q$2:$Q$1001,MATCH(ROWS($O$2:O905),$O$2:$O$1001,0),0),1)),INDEX($T$2:$T$1001,MATCH(ROWS($O$2:O905),$O$2:$O$1001,0),0)))</f>
        <v>0</v>
      </c>
      <c r="B905" s="4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4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4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4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4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4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4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4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4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4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OR(AND(IF(metadata!C905="",FALSE,TRUE),OR(exact(metadata!C905,"not applicable"),exact(metadata!C905,"missing: not collected"),exact(metadata!C905,"missing: not provided"),exact(metadata!C905,"missing: restricted access"))),AND(IF(metadata!C905="",FALSE,ISNUMBER(VALUE(metadata!C905))),metadata!C905&gt;0))</f>
        <v>0</v>
      </c>
      <c r="X905">
        <f>AND(IF(metadata!D905="",FALSE,TRUE),exact(metadata!D905,"weeks"))</f>
        <v>0</v>
      </c>
      <c r="Y905">
        <f>AND(IF(metadata!E905="",FALSE,TRUE),exact(metadata!E905,"urban biome"))</f>
        <v>0</v>
      </c>
      <c r="Z905">
        <f>AND(IF(metadata!F905="",FALSE,TRUE),exact(metadata!F905,"animal-associated habitat"))</f>
        <v>0</v>
      </c>
      <c r="AA905">
        <f>AND(IF(metadata!G905="",FALSE,TRUE),exact(metadata!G905,"mouse"))</f>
        <v>0</v>
      </c>
      <c r="AB905">
        <f>AND(IF(metadata!H905="",FALSE,TRUE),exact(metadata!H905,"Mus musculus"))</f>
        <v>0</v>
      </c>
      <c r="AC905">
        <f>AND(IF(metadata!I905="",FALSE,TRUE),exact(metadata!I905,"10090"))</f>
        <v>0</v>
      </c>
      <c r="AD905">
        <f>OR(AND(IF(metadata!J905="",FALSE,TRUE),OR(exact(metadata!J905,"not applicable"),exact(metadata!J905,"missing: not collected"),exact(metadata!J905,"missing: not provided"),exact(metadata!J905,"missing: restricted access"))),AND(IF(metadata!J905="",FALSE,ISNUMBER(VALUE(metadata!J905))),metadata!J905&gt;0))</f>
        <v>0</v>
      </c>
      <c r="AE905">
        <f>AND(IF(metadata!K905="",FALSE,TRUE),exact(metadata!K905,"g"))</f>
        <v>0</v>
      </c>
    </row>
    <row r="906" spans="1:31">
      <c r="A906" s="5">
        <f>IF(B906=" "," ",HYPERLINK(CONCATENATE("#metadata!",ADDRESS(INDEX($Q$2:$Q$1001,MATCH(ROWS($O$2:O906),$O$2:$O$1001,0),0),1)),INDEX($T$2:$T$1001,MATCH(ROWS($O$2:O906),$O$2:$O$1001,0),0)))</f>
        <v>0</v>
      </c>
      <c r="B906" s="4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4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4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4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4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4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4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4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4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4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OR(AND(IF(metadata!C906="",FALSE,TRUE),OR(exact(metadata!C906,"not applicable"),exact(metadata!C906,"missing: not collected"),exact(metadata!C906,"missing: not provided"),exact(metadata!C906,"missing: restricted access"))),AND(IF(metadata!C906="",FALSE,ISNUMBER(VALUE(metadata!C906))),metadata!C906&gt;0))</f>
        <v>0</v>
      </c>
      <c r="X906">
        <f>AND(IF(metadata!D906="",FALSE,TRUE),exact(metadata!D906,"weeks"))</f>
        <v>0</v>
      </c>
      <c r="Y906">
        <f>AND(IF(metadata!E906="",FALSE,TRUE),exact(metadata!E906,"urban biome"))</f>
        <v>0</v>
      </c>
      <c r="Z906">
        <f>AND(IF(metadata!F906="",FALSE,TRUE),exact(metadata!F906,"animal-associated habitat"))</f>
        <v>0</v>
      </c>
      <c r="AA906">
        <f>AND(IF(metadata!G906="",FALSE,TRUE),exact(metadata!G906,"mouse"))</f>
        <v>0</v>
      </c>
      <c r="AB906">
        <f>AND(IF(metadata!H906="",FALSE,TRUE),exact(metadata!H906,"Mus musculus"))</f>
        <v>0</v>
      </c>
      <c r="AC906">
        <f>AND(IF(metadata!I906="",FALSE,TRUE),exact(metadata!I906,"10090"))</f>
        <v>0</v>
      </c>
      <c r="AD906">
        <f>OR(AND(IF(metadata!J906="",FALSE,TRUE),OR(exact(metadata!J906,"not applicable"),exact(metadata!J906,"missing: not collected"),exact(metadata!J906,"missing: not provided"),exact(metadata!J906,"missing: restricted access"))),AND(IF(metadata!J906="",FALSE,ISNUMBER(VALUE(metadata!J906))),metadata!J906&gt;0))</f>
        <v>0</v>
      </c>
      <c r="AE906">
        <f>AND(IF(metadata!K906="",FALSE,TRUE),exact(metadata!K906,"g"))</f>
        <v>0</v>
      </c>
    </row>
    <row r="907" spans="1:31">
      <c r="A907" s="5">
        <f>IF(B907=" "," ",HYPERLINK(CONCATENATE("#metadata!",ADDRESS(INDEX($Q$2:$Q$1001,MATCH(ROWS($O$2:O907),$O$2:$O$1001,0),0),1)),INDEX($T$2:$T$1001,MATCH(ROWS($O$2:O907),$O$2:$O$1001,0),0)))</f>
        <v>0</v>
      </c>
      <c r="B907" s="4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4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4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4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4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4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4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4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4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4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OR(AND(IF(metadata!C907="",FALSE,TRUE),OR(exact(metadata!C907,"not applicable"),exact(metadata!C907,"missing: not collected"),exact(metadata!C907,"missing: not provided"),exact(metadata!C907,"missing: restricted access"))),AND(IF(metadata!C907="",FALSE,ISNUMBER(VALUE(metadata!C907))),metadata!C907&gt;0))</f>
        <v>0</v>
      </c>
      <c r="X907">
        <f>AND(IF(metadata!D907="",FALSE,TRUE),exact(metadata!D907,"weeks"))</f>
        <v>0</v>
      </c>
      <c r="Y907">
        <f>AND(IF(metadata!E907="",FALSE,TRUE),exact(metadata!E907,"urban biome"))</f>
        <v>0</v>
      </c>
      <c r="Z907">
        <f>AND(IF(metadata!F907="",FALSE,TRUE),exact(metadata!F907,"animal-associated habitat"))</f>
        <v>0</v>
      </c>
      <c r="AA907">
        <f>AND(IF(metadata!G907="",FALSE,TRUE),exact(metadata!G907,"mouse"))</f>
        <v>0</v>
      </c>
      <c r="AB907">
        <f>AND(IF(metadata!H907="",FALSE,TRUE),exact(metadata!H907,"Mus musculus"))</f>
        <v>0</v>
      </c>
      <c r="AC907">
        <f>AND(IF(metadata!I907="",FALSE,TRUE),exact(metadata!I907,"10090"))</f>
        <v>0</v>
      </c>
      <c r="AD907">
        <f>OR(AND(IF(metadata!J907="",FALSE,TRUE),OR(exact(metadata!J907,"not applicable"),exact(metadata!J907,"missing: not collected"),exact(metadata!J907,"missing: not provided"),exact(metadata!J907,"missing: restricted access"))),AND(IF(metadata!J907="",FALSE,ISNUMBER(VALUE(metadata!J907))),metadata!J907&gt;0))</f>
        <v>0</v>
      </c>
      <c r="AE907">
        <f>AND(IF(metadata!K907="",FALSE,TRUE),exact(metadata!K907,"g"))</f>
        <v>0</v>
      </c>
    </row>
    <row r="908" spans="1:31">
      <c r="A908" s="5">
        <f>IF(B908=" "," ",HYPERLINK(CONCATENATE("#metadata!",ADDRESS(INDEX($Q$2:$Q$1001,MATCH(ROWS($O$2:O908),$O$2:$O$1001,0),0),1)),INDEX($T$2:$T$1001,MATCH(ROWS($O$2:O908),$O$2:$O$1001,0),0)))</f>
        <v>0</v>
      </c>
      <c r="B908" s="4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4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4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4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4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4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4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4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4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4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OR(AND(IF(metadata!C908="",FALSE,TRUE),OR(exact(metadata!C908,"not applicable"),exact(metadata!C908,"missing: not collected"),exact(metadata!C908,"missing: not provided"),exact(metadata!C908,"missing: restricted access"))),AND(IF(metadata!C908="",FALSE,ISNUMBER(VALUE(metadata!C908))),metadata!C908&gt;0))</f>
        <v>0</v>
      </c>
      <c r="X908">
        <f>AND(IF(metadata!D908="",FALSE,TRUE),exact(metadata!D908,"weeks"))</f>
        <v>0</v>
      </c>
      <c r="Y908">
        <f>AND(IF(metadata!E908="",FALSE,TRUE),exact(metadata!E908,"urban biome"))</f>
        <v>0</v>
      </c>
      <c r="Z908">
        <f>AND(IF(metadata!F908="",FALSE,TRUE),exact(metadata!F908,"animal-associated habitat"))</f>
        <v>0</v>
      </c>
      <c r="AA908">
        <f>AND(IF(metadata!G908="",FALSE,TRUE),exact(metadata!G908,"mouse"))</f>
        <v>0</v>
      </c>
      <c r="AB908">
        <f>AND(IF(metadata!H908="",FALSE,TRUE),exact(metadata!H908,"Mus musculus"))</f>
        <v>0</v>
      </c>
      <c r="AC908">
        <f>AND(IF(metadata!I908="",FALSE,TRUE),exact(metadata!I908,"10090"))</f>
        <v>0</v>
      </c>
      <c r="AD908">
        <f>OR(AND(IF(metadata!J908="",FALSE,TRUE),OR(exact(metadata!J908,"not applicable"),exact(metadata!J908,"missing: not collected"),exact(metadata!J908,"missing: not provided"),exact(metadata!J908,"missing: restricted access"))),AND(IF(metadata!J908="",FALSE,ISNUMBER(VALUE(metadata!J908))),metadata!J908&gt;0))</f>
        <v>0</v>
      </c>
      <c r="AE908">
        <f>AND(IF(metadata!K908="",FALSE,TRUE),exact(metadata!K908,"g"))</f>
        <v>0</v>
      </c>
    </row>
    <row r="909" spans="1:31">
      <c r="A909" s="5">
        <f>IF(B909=" "," ",HYPERLINK(CONCATENATE("#metadata!",ADDRESS(INDEX($Q$2:$Q$1001,MATCH(ROWS($O$2:O909),$O$2:$O$1001,0),0),1)),INDEX($T$2:$T$1001,MATCH(ROWS($O$2:O909),$O$2:$O$1001,0),0)))</f>
        <v>0</v>
      </c>
      <c r="B909" s="4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4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4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4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4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4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4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4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4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4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OR(AND(IF(metadata!C909="",FALSE,TRUE),OR(exact(metadata!C909,"not applicable"),exact(metadata!C909,"missing: not collected"),exact(metadata!C909,"missing: not provided"),exact(metadata!C909,"missing: restricted access"))),AND(IF(metadata!C909="",FALSE,ISNUMBER(VALUE(metadata!C909))),metadata!C909&gt;0))</f>
        <v>0</v>
      </c>
      <c r="X909">
        <f>AND(IF(metadata!D909="",FALSE,TRUE),exact(metadata!D909,"weeks"))</f>
        <v>0</v>
      </c>
      <c r="Y909">
        <f>AND(IF(metadata!E909="",FALSE,TRUE),exact(metadata!E909,"urban biome"))</f>
        <v>0</v>
      </c>
      <c r="Z909">
        <f>AND(IF(metadata!F909="",FALSE,TRUE),exact(metadata!F909,"animal-associated habitat"))</f>
        <v>0</v>
      </c>
      <c r="AA909">
        <f>AND(IF(metadata!G909="",FALSE,TRUE),exact(metadata!G909,"mouse"))</f>
        <v>0</v>
      </c>
      <c r="AB909">
        <f>AND(IF(metadata!H909="",FALSE,TRUE),exact(metadata!H909,"Mus musculus"))</f>
        <v>0</v>
      </c>
      <c r="AC909">
        <f>AND(IF(metadata!I909="",FALSE,TRUE),exact(metadata!I909,"10090"))</f>
        <v>0</v>
      </c>
      <c r="AD909">
        <f>OR(AND(IF(metadata!J909="",FALSE,TRUE),OR(exact(metadata!J909,"not applicable"),exact(metadata!J909,"missing: not collected"),exact(metadata!J909,"missing: not provided"),exact(metadata!J909,"missing: restricted access"))),AND(IF(metadata!J909="",FALSE,ISNUMBER(VALUE(metadata!J909))),metadata!J909&gt;0))</f>
        <v>0</v>
      </c>
      <c r="AE909">
        <f>AND(IF(metadata!K909="",FALSE,TRUE),exact(metadata!K909,"g"))</f>
        <v>0</v>
      </c>
    </row>
    <row r="910" spans="1:31">
      <c r="A910" s="5">
        <f>IF(B910=" "," ",HYPERLINK(CONCATENATE("#metadata!",ADDRESS(INDEX($Q$2:$Q$1001,MATCH(ROWS($O$2:O910),$O$2:$O$1001,0),0),1)),INDEX($T$2:$T$1001,MATCH(ROWS($O$2:O910),$O$2:$O$1001,0),0)))</f>
        <v>0</v>
      </c>
      <c r="B910" s="4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4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4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4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4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4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4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4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4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4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OR(AND(IF(metadata!C910="",FALSE,TRUE),OR(exact(metadata!C910,"not applicable"),exact(metadata!C910,"missing: not collected"),exact(metadata!C910,"missing: not provided"),exact(metadata!C910,"missing: restricted access"))),AND(IF(metadata!C910="",FALSE,ISNUMBER(VALUE(metadata!C910))),metadata!C910&gt;0))</f>
        <v>0</v>
      </c>
      <c r="X910">
        <f>AND(IF(metadata!D910="",FALSE,TRUE),exact(metadata!D910,"weeks"))</f>
        <v>0</v>
      </c>
      <c r="Y910">
        <f>AND(IF(metadata!E910="",FALSE,TRUE),exact(metadata!E910,"urban biome"))</f>
        <v>0</v>
      </c>
      <c r="Z910">
        <f>AND(IF(metadata!F910="",FALSE,TRUE),exact(metadata!F910,"animal-associated habitat"))</f>
        <v>0</v>
      </c>
      <c r="AA910">
        <f>AND(IF(metadata!G910="",FALSE,TRUE),exact(metadata!G910,"mouse"))</f>
        <v>0</v>
      </c>
      <c r="AB910">
        <f>AND(IF(metadata!H910="",FALSE,TRUE),exact(metadata!H910,"Mus musculus"))</f>
        <v>0</v>
      </c>
      <c r="AC910">
        <f>AND(IF(metadata!I910="",FALSE,TRUE),exact(metadata!I910,"10090"))</f>
        <v>0</v>
      </c>
      <c r="AD910">
        <f>OR(AND(IF(metadata!J910="",FALSE,TRUE),OR(exact(metadata!J910,"not applicable"),exact(metadata!J910,"missing: not collected"),exact(metadata!J910,"missing: not provided"),exact(metadata!J910,"missing: restricted access"))),AND(IF(metadata!J910="",FALSE,ISNUMBER(VALUE(metadata!J910))),metadata!J910&gt;0))</f>
        <v>0</v>
      </c>
      <c r="AE910">
        <f>AND(IF(metadata!K910="",FALSE,TRUE),exact(metadata!K910,"g"))</f>
        <v>0</v>
      </c>
    </row>
    <row r="911" spans="1:31">
      <c r="A911" s="5">
        <f>IF(B911=" "," ",HYPERLINK(CONCATENATE("#metadata!",ADDRESS(INDEX($Q$2:$Q$1001,MATCH(ROWS($O$2:O911),$O$2:$O$1001,0),0),1)),INDEX($T$2:$T$1001,MATCH(ROWS($O$2:O911),$O$2:$O$1001,0),0)))</f>
        <v>0</v>
      </c>
      <c r="B911" s="4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4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4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4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4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4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4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4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4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4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OR(AND(IF(metadata!C911="",FALSE,TRUE),OR(exact(metadata!C911,"not applicable"),exact(metadata!C911,"missing: not collected"),exact(metadata!C911,"missing: not provided"),exact(metadata!C911,"missing: restricted access"))),AND(IF(metadata!C911="",FALSE,ISNUMBER(VALUE(metadata!C911))),metadata!C911&gt;0))</f>
        <v>0</v>
      </c>
      <c r="X911">
        <f>AND(IF(metadata!D911="",FALSE,TRUE),exact(metadata!D911,"weeks"))</f>
        <v>0</v>
      </c>
      <c r="Y911">
        <f>AND(IF(metadata!E911="",FALSE,TRUE),exact(metadata!E911,"urban biome"))</f>
        <v>0</v>
      </c>
      <c r="Z911">
        <f>AND(IF(metadata!F911="",FALSE,TRUE),exact(metadata!F911,"animal-associated habitat"))</f>
        <v>0</v>
      </c>
      <c r="AA911">
        <f>AND(IF(metadata!G911="",FALSE,TRUE),exact(metadata!G911,"mouse"))</f>
        <v>0</v>
      </c>
      <c r="AB911">
        <f>AND(IF(metadata!H911="",FALSE,TRUE),exact(metadata!H911,"Mus musculus"))</f>
        <v>0</v>
      </c>
      <c r="AC911">
        <f>AND(IF(metadata!I911="",FALSE,TRUE),exact(metadata!I911,"10090"))</f>
        <v>0</v>
      </c>
      <c r="AD911">
        <f>OR(AND(IF(metadata!J911="",FALSE,TRUE),OR(exact(metadata!J911,"not applicable"),exact(metadata!J911,"missing: not collected"),exact(metadata!J911,"missing: not provided"),exact(metadata!J911,"missing: restricted access"))),AND(IF(metadata!J911="",FALSE,ISNUMBER(VALUE(metadata!J911))),metadata!J911&gt;0))</f>
        <v>0</v>
      </c>
      <c r="AE911">
        <f>AND(IF(metadata!K911="",FALSE,TRUE),exact(metadata!K911,"g"))</f>
        <v>0</v>
      </c>
    </row>
    <row r="912" spans="1:31">
      <c r="A912" s="5">
        <f>IF(B912=" "," ",HYPERLINK(CONCATENATE("#metadata!",ADDRESS(INDEX($Q$2:$Q$1001,MATCH(ROWS($O$2:O912),$O$2:$O$1001,0),0),1)),INDEX($T$2:$T$1001,MATCH(ROWS($O$2:O912),$O$2:$O$1001,0),0)))</f>
        <v>0</v>
      </c>
      <c r="B912" s="4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4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4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4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4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4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4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4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4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4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OR(AND(IF(metadata!C912="",FALSE,TRUE),OR(exact(metadata!C912,"not applicable"),exact(metadata!C912,"missing: not collected"),exact(metadata!C912,"missing: not provided"),exact(metadata!C912,"missing: restricted access"))),AND(IF(metadata!C912="",FALSE,ISNUMBER(VALUE(metadata!C912))),metadata!C912&gt;0))</f>
        <v>0</v>
      </c>
      <c r="X912">
        <f>AND(IF(metadata!D912="",FALSE,TRUE),exact(metadata!D912,"weeks"))</f>
        <v>0</v>
      </c>
      <c r="Y912">
        <f>AND(IF(metadata!E912="",FALSE,TRUE),exact(metadata!E912,"urban biome"))</f>
        <v>0</v>
      </c>
      <c r="Z912">
        <f>AND(IF(metadata!F912="",FALSE,TRUE),exact(metadata!F912,"animal-associated habitat"))</f>
        <v>0</v>
      </c>
      <c r="AA912">
        <f>AND(IF(metadata!G912="",FALSE,TRUE),exact(metadata!G912,"mouse"))</f>
        <v>0</v>
      </c>
      <c r="AB912">
        <f>AND(IF(metadata!H912="",FALSE,TRUE),exact(metadata!H912,"Mus musculus"))</f>
        <v>0</v>
      </c>
      <c r="AC912">
        <f>AND(IF(metadata!I912="",FALSE,TRUE),exact(metadata!I912,"10090"))</f>
        <v>0</v>
      </c>
      <c r="AD912">
        <f>OR(AND(IF(metadata!J912="",FALSE,TRUE),OR(exact(metadata!J912,"not applicable"),exact(metadata!J912,"missing: not collected"),exact(metadata!J912,"missing: not provided"),exact(metadata!J912,"missing: restricted access"))),AND(IF(metadata!J912="",FALSE,ISNUMBER(VALUE(metadata!J912))),metadata!J912&gt;0))</f>
        <v>0</v>
      </c>
      <c r="AE912">
        <f>AND(IF(metadata!K912="",FALSE,TRUE),exact(metadata!K912,"g"))</f>
        <v>0</v>
      </c>
    </row>
    <row r="913" spans="1:31">
      <c r="A913" s="5">
        <f>IF(B913=" "," ",HYPERLINK(CONCATENATE("#metadata!",ADDRESS(INDEX($Q$2:$Q$1001,MATCH(ROWS($O$2:O913),$O$2:$O$1001,0),0),1)),INDEX($T$2:$T$1001,MATCH(ROWS($O$2:O913),$O$2:$O$1001,0),0)))</f>
        <v>0</v>
      </c>
      <c r="B913" s="4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4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4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4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4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4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4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4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4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4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OR(AND(IF(metadata!C913="",FALSE,TRUE),OR(exact(metadata!C913,"not applicable"),exact(metadata!C913,"missing: not collected"),exact(metadata!C913,"missing: not provided"),exact(metadata!C913,"missing: restricted access"))),AND(IF(metadata!C913="",FALSE,ISNUMBER(VALUE(metadata!C913))),metadata!C913&gt;0))</f>
        <v>0</v>
      </c>
      <c r="X913">
        <f>AND(IF(metadata!D913="",FALSE,TRUE),exact(metadata!D913,"weeks"))</f>
        <v>0</v>
      </c>
      <c r="Y913">
        <f>AND(IF(metadata!E913="",FALSE,TRUE),exact(metadata!E913,"urban biome"))</f>
        <v>0</v>
      </c>
      <c r="Z913">
        <f>AND(IF(metadata!F913="",FALSE,TRUE),exact(metadata!F913,"animal-associated habitat"))</f>
        <v>0</v>
      </c>
      <c r="AA913">
        <f>AND(IF(metadata!G913="",FALSE,TRUE),exact(metadata!G913,"mouse"))</f>
        <v>0</v>
      </c>
      <c r="AB913">
        <f>AND(IF(metadata!H913="",FALSE,TRUE),exact(metadata!H913,"Mus musculus"))</f>
        <v>0</v>
      </c>
      <c r="AC913">
        <f>AND(IF(metadata!I913="",FALSE,TRUE),exact(metadata!I913,"10090"))</f>
        <v>0</v>
      </c>
      <c r="AD913">
        <f>OR(AND(IF(metadata!J913="",FALSE,TRUE),OR(exact(metadata!J913,"not applicable"),exact(metadata!J913,"missing: not collected"),exact(metadata!J913,"missing: not provided"),exact(metadata!J913,"missing: restricted access"))),AND(IF(metadata!J913="",FALSE,ISNUMBER(VALUE(metadata!J913))),metadata!J913&gt;0))</f>
        <v>0</v>
      </c>
      <c r="AE913">
        <f>AND(IF(metadata!K913="",FALSE,TRUE),exact(metadata!K913,"g"))</f>
        <v>0</v>
      </c>
    </row>
    <row r="914" spans="1:31">
      <c r="A914" s="5">
        <f>IF(B914=" "," ",HYPERLINK(CONCATENATE("#metadata!",ADDRESS(INDEX($Q$2:$Q$1001,MATCH(ROWS($O$2:O914),$O$2:$O$1001,0),0),1)),INDEX($T$2:$T$1001,MATCH(ROWS($O$2:O914),$O$2:$O$1001,0),0)))</f>
        <v>0</v>
      </c>
      <c r="B914" s="4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4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4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4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4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4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4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4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4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4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OR(AND(IF(metadata!C914="",FALSE,TRUE),OR(exact(metadata!C914,"not applicable"),exact(metadata!C914,"missing: not collected"),exact(metadata!C914,"missing: not provided"),exact(metadata!C914,"missing: restricted access"))),AND(IF(metadata!C914="",FALSE,ISNUMBER(VALUE(metadata!C914))),metadata!C914&gt;0))</f>
        <v>0</v>
      </c>
      <c r="X914">
        <f>AND(IF(metadata!D914="",FALSE,TRUE),exact(metadata!D914,"weeks"))</f>
        <v>0</v>
      </c>
      <c r="Y914">
        <f>AND(IF(metadata!E914="",FALSE,TRUE),exact(metadata!E914,"urban biome"))</f>
        <v>0</v>
      </c>
      <c r="Z914">
        <f>AND(IF(metadata!F914="",FALSE,TRUE),exact(metadata!F914,"animal-associated habitat"))</f>
        <v>0</v>
      </c>
      <c r="AA914">
        <f>AND(IF(metadata!G914="",FALSE,TRUE),exact(metadata!G914,"mouse"))</f>
        <v>0</v>
      </c>
      <c r="AB914">
        <f>AND(IF(metadata!H914="",FALSE,TRUE),exact(metadata!H914,"Mus musculus"))</f>
        <v>0</v>
      </c>
      <c r="AC914">
        <f>AND(IF(metadata!I914="",FALSE,TRUE),exact(metadata!I914,"10090"))</f>
        <v>0</v>
      </c>
      <c r="AD914">
        <f>OR(AND(IF(metadata!J914="",FALSE,TRUE),OR(exact(metadata!J914,"not applicable"),exact(metadata!J914,"missing: not collected"),exact(metadata!J914,"missing: not provided"),exact(metadata!J914,"missing: restricted access"))),AND(IF(metadata!J914="",FALSE,ISNUMBER(VALUE(metadata!J914))),metadata!J914&gt;0))</f>
        <v>0</v>
      </c>
      <c r="AE914">
        <f>AND(IF(metadata!K914="",FALSE,TRUE),exact(metadata!K914,"g"))</f>
        <v>0</v>
      </c>
    </row>
    <row r="915" spans="1:31">
      <c r="A915" s="5">
        <f>IF(B915=" "," ",HYPERLINK(CONCATENATE("#metadata!",ADDRESS(INDEX($Q$2:$Q$1001,MATCH(ROWS($O$2:O915),$O$2:$O$1001,0),0),1)),INDEX($T$2:$T$1001,MATCH(ROWS($O$2:O915),$O$2:$O$1001,0),0)))</f>
        <v>0</v>
      </c>
      <c r="B915" s="4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4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4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4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4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4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4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4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4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4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OR(AND(IF(metadata!C915="",FALSE,TRUE),OR(exact(metadata!C915,"not applicable"),exact(metadata!C915,"missing: not collected"),exact(metadata!C915,"missing: not provided"),exact(metadata!C915,"missing: restricted access"))),AND(IF(metadata!C915="",FALSE,ISNUMBER(VALUE(metadata!C915))),metadata!C915&gt;0))</f>
        <v>0</v>
      </c>
      <c r="X915">
        <f>AND(IF(metadata!D915="",FALSE,TRUE),exact(metadata!D915,"weeks"))</f>
        <v>0</v>
      </c>
      <c r="Y915">
        <f>AND(IF(metadata!E915="",FALSE,TRUE),exact(metadata!E915,"urban biome"))</f>
        <v>0</v>
      </c>
      <c r="Z915">
        <f>AND(IF(metadata!F915="",FALSE,TRUE),exact(metadata!F915,"animal-associated habitat"))</f>
        <v>0</v>
      </c>
      <c r="AA915">
        <f>AND(IF(metadata!G915="",FALSE,TRUE),exact(metadata!G915,"mouse"))</f>
        <v>0</v>
      </c>
      <c r="AB915">
        <f>AND(IF(metadata!H915="",FALSE,TRUE),exact(metadata!H915,"Mus musculus"))</f>
        <v>0</v>
      </c>
      <c r="AC915">
        <f>AND(IF(metadata!I915="",FALSE,TRUE),exact(metadata!I915,"10090"))</f>
        <v>0</v>
      </c>
      <c r="AD915">
        <f>OR(AND(IF(metadata!J915="",FALSE,TRUE),OR(exact(metadata!J915,"not applicable"),exact(metadata!J915,"missing: not collected"),exact(metadata!J915,"missing: not provided"),exact(metadata!J915,"missing: restricted access"))),AND(IF(metadata!J915="",FALSE,ISNUMBER(VALUE(metadata!J915))),metadata!J915&gt;0))</f>
        <v>0</v>
      </c>
      <c r="AE915">
        <f>AND(IF(metadata!K915="",FALSE,TRUE),exact(metadata!K915,"g"))</f>
        <v>0</v>
      </c>
    </row>
    <row r="916" spans="1:31">
      <c r="A916" s="5">
        <f>IF(B916=" "," ",HYPERLINK(CONCATENATE("#metadata!",ADDRESS(INDEX($Q$2:$Q$1001,MATCH(ROWS($O$2:O916),$O$2:$O$1001,0),0),1)),INDEX($T$2:$T$1001,MATCH(ROWS($O$2:O916),$O$2:$O$1001,0),0)))</f>
        <v>0</v>
      </c>
      <c r="B916" s="4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4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4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4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4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4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4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4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4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4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OR(AND(IF(metadata!C916="",FALSE,TRUE),OR(exact(metadata!C916,"not applicable"),exact(metadata!C916,"missing: not collected"),exact(metadata!C916,"missing: not provided"),exact(metadata!C916,"missing: restricted access"))),AND(IF(metadata!C916="",FALSE,ISNUMBER(VALUE(metadata!C916))),metadata!C916&gt;0))</f>
        <v>0</v>
      </c>
      <c r="X916">
        <f>AND(IF(metadata!D916="",FALSE,TRUE),exact(metadata!D916,"weeks"))</f>
        <v>0</v>
      </c>
      <c r="Y916">
        <f>AND(IF(metadata!E916="",FALSE,TRUE),exact(metadata!E916,"urban biome"))</f>
        <v>0</v>
      </c>
      <c r="Z916">
        <f>AND(IF(metadata!F916="",FALSE,TRUE),exact(metadata!F916,"animal-associated habitat"))</f>
        <v>0</v>
      </c>
      <c r="AA916">
        <f>AND(IF(metadata!G916="",FALSE,TRUE),exact(metadata!G916,"mouse"))</f>
        <v>0</v>
      </c>
      <c r="AB916">
        <f>AND(IF(metadata!H916="",FALSE,TRUE),exact(metadata!H916,"Mus musculus"))</f>
        <v>0</v>
      </c>
      <c r="AC916">
        <f>AND(IF(metadata!I916="",FALSE,TRUE),exact(metadata!I916,"10090"))</f>
        <v>0</v>
      </c>
      <c r="AD916">
        <f>OR(AND(IF(metadata!J916="",FALSE,TRUE),OR(exact(metadata!J916,"not applicable"),exact(metadata!J916,"missing: not collected"),exact(metadata!J916,"missing: not provided"),exact(metadata!J916,"missing: restricted access"))),AND(IF(metadata!J916="",FALSE,ISNUMBER(VALUE(metadata!J916))),metadata!J916&gt;0))</f>
        <v>0</v>
      </c>
      <c r="AE916">
        <f>AND(IF(metadata!K916="",FALSE,TRUE),exact(metadata!K916,"g"))</f>
        <v>0</v>
      </c>
    </row>
    <row r="917" spans="1:31">
      <c r="A917" s="5">
        <f>IF(B917=" "," ",HYPERLINK(CONCATENATE("#metadata!",ADDRESS(INDEX($Q$2:$Q$1001,MATCH(ROWS($O$2:O917),$O$2:$O$1001,0),0),1)),INDEX($T$2:$T$1001,MATCH(ROWS($O$2:O917),$O$2:$O$1001,0),0)))</f>
        <v>0</v>
      </c>
      <c r="B917" s="4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4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4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4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4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4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4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4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4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4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OR(AND(IF(metadata!C917="",FALSE,TRUE),OR(exact(metadata!C917,"not applicable"),exact(metadata!C917,"missing: not collected"),exact(metadata!C917,"missing: not provided"),exact(metadata!C917,"missing: restricted access"))),AND(IF(metadata!C917="",FALSE,ISNUMBER(VALUE(metadata!C917))),metadata!C917&gt;0))</f>
        <v>0</v>
      </c>
      <c r="X917">
        <f>AND(IF(metadata!D917="",FALSE,TRUE),exact(metadata!D917,"weeks"))</f>
        <v>0</v>
      </c>
      <c r="Y917">
        <f>AND(IF(metadata!E917="",FALSE,TRUE),exact(metadata!E917,"urban biome"))</f>
        <v>0</v>
      </c>
      <c r="Z917">
        <f>AND(IF(metadata!F917="",FALSE,TRUE),exact(metadata!F917,"animal-associated habitat"))</f>
        <v>0</v>
      </c>
      <c r="AA917">
        <f>AND(IF(metadata!G917="",FALSE,TRUE),exact(metadata!G917,"mouse"))</f>
        <v>0</v>
      </c>
      <c r="AB917">
        <f>AND(IF(metadata!H917="",FALSE,TRUE),exact(metadata!H917,"Mus musculus"))</f>
        <v>0</v>
      </c>
      <c r="AC917">
        <f>AND(IF(metadata!I917="",FALSE,TRUE),exact(metadata!I917,"10090"))</f>
        <v>0</v>
      </c>
      <c r="AD917">
        <f>OR(AND(IF(metadata!J917="",FALSE,TRUE),OR(exact(metadata!J917,"not applicable"),exact(metadata!J917,"missing: not collected"),exact(metadata!J917,"missing: not provided"),exact(metadata!J917,"missing: restricted access"))),AND(IF(metadata!J917="",FALSE,ISNUMBER(VALUE(metadata!J917))),metadata!J917&gt;0))</f>
        <v>0</v>
      </c>
      <c r="AE917">
        <f>AND(IF(metadata!K917="",FALSE,TRUE),exact(metadata!K917,"g"))</f>
        <v>0</v>
      </c>
    </row>
    <row r="918" spans="1:31">
      <c r="A918" s="5">
        <f>IF(B918=" "," ",HYPERLINK(CONCATENATE("#metadata!",ADDRESS(INDEX($Q$2:$Q$1001,MATCH(ROWS($O$2:O918),$O$2:$O$1001,0),0),1)),INDEX($T$2:$T$1001,MATCH(ROWS($O$2:O918),$O$2:$O$1001,0),0)))</f>
        <v>0</v>
      </c>
      <c r="B918" s="4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4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4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4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4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4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4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4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4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4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OR(AND(IF(metadata!C918="",FALSE,TRUE),OR(exact(metadata!C918,"not applicable"),exact(metadata!C918,"missing: not collected"),exact(metadata!C918,"missing: not provided"),exact(metadata!C918,"missing: restricted access"))),AND(IF(metadata!C918="",FALSE,ISNUMBER(VALUE(metadata!C918))),metadata!C918&gt;0))</f>
        <v>0</v>
      </c>
      <c r="X918">
        <f>AND(IF(metadata!D918="",FALSE,TRUE),exact(metadata!D918,"weeks"))</f>
        <v>0</v>
      </c>
      <c r="Y918">
        <f>AND(IF(metadata!E918="",FALSE,TRUE),exact(metadata!E918,"urban biome"))</f>
        <v>0</v>
      </c>
      <c r="Z918">
        <f>AND(IF(metadata!F918="",FALSE,TRUE),exact(metadata!F918,"animal-associated habitat"))</f>
        <v>0</v>
      </c>
      <c r="AA918">
        <f>AND(IF(metadata!G918="",FALSE,TRUE),exact(metadata!G918,"mouse"))</f>
        <v>0</v>
      </c>
      <c r="AB918">
        <f>AND(IF(metadata!H918="",FALSE,TRUE),exact(metadata!H918,"Mus musculus"))</f>
        <v>0</v>
      </c>
      <c r="AC918">
        <f>AND(IF(metadata!I918="",FALSE,TRUE),exact(metadata!I918,"10090"))</f>
        <v>0</v>
      </c>
      <c r="AD918">
        <f>OR(AND(IF(metadata!J918="",FALSE,TRUE),OR(exact(metadata!J918,"not applicable"),exact(metadata!J918,"missing: not collected"),exact(metadata!J918,"missing: not provided"),exact(metadata!J918,"missing: restricted access"))),AND(IF(metadata!J918="",FALSE,ISNUMBER(VALUE(metadata!J918))),metadata!J918&gt;0))</f>
        <v>0</v>
      </c>
      <c r="AE918">
        <f>AND(IF(metadata!K918="",FALSE,TRUE),exact(metadata!K918,"g"))</f>
        <v>0</v>
      </c>
    </row>
    <row r="919" spans="1:31">
      <c r="A919" s="5">
        <f>IF(B919=" "," ",HYPERLINK(CONCATENATE("#metadata!",ADDRESS(INDEX($Q$2:$Q$1001,MATCH(ROWS($O$2:O919),$O$2:$O$1001,0),0),1)),INDEX($T$2:$T$1001,MATCH(ROWS($O$2:O919),$O$2:$O$1001,0),0)))</f>
        <v>0</v>
      </c>
      <c r="B919" s="4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4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4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4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4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4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4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4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4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4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OR(AND(IF(metadata!C919="",FALSE,TRUE),OR(exact(metadata!C919,"not applicable"),exact(metadata!C919,"missing: not collected"),exact(metadata!C919,"missing: not provided"),exact(metadata!C919,"missing: restricted access"))),AND(IF(metadata!C919="",FALSE,ISNUMBER(VALUE(metadata!C919))),metadata!C919&gt;0))</f>
        <v>0</v>
      </c>
      <c r="X919">
        <f>AND(IF(metadata!D919="",FALSE,TRUE),exact(metadata!D919,"weeks"))</f>
        <v>0</v>
      </c>
      <c r="Y919">
        <f>AND(IF(metadata!E919="",FALSE,TRUE),exact(metadata!E919,"urban biome"))</f>
        <v>0</v>
      </c>
      <c r="Z919">
        <f>AND(IF(metadata!F919="",FALSE,TRUE),exact(metadata!F919,"animal-associated habitat"))</f>
        <v>0</v>
      </c>
      <c r="AA919">
        <f>AND(IF(metadata!G919="",FALSE,TRUE),exact(metadata!G919,"mouse"))</f>
        <v>0</v>
      </c>
      <c r="AB919">
        <f>AND(IF(metadata!H919="",FALSE,TRUE),exact(metadata!H919,"Mus musculus"))</f>
        <v>0</v>
      </c>
      <c r="AC919">
        <f>AND(IF(metadata!I919="",FALSE,TRUE),exact(metadata!I919,"10090"))</f>
        <v>0</v>
      </c>
      <c r="AD919">
        <f>OR(AND(IF(metadata!J919="",FALSE,TRUE),OR(exact(metadata!J919,"not applicable"),exact(metadata!J919,"missing: not collected"),exact(metadata!J919,"missing: not provided"),exact(metadata!J919,"missing: restricted access"))),AND(IF(metadata!J919="",FALSE,ISNUMBER(VALUE(metadata!J919))),metadata!J919&gt;0))</f>
        <v>0</v>
      </c>
      <c r="AE919">
        <f>AND(IF(metadata!K919="",FALSE,TRUE),exact(metadata!K919,"g"))</f>
        <v>0</v>
      </c>
    </row>
    <row r="920" spans="1:31">
      <c r="A920" s="5">
        <f>IF(B920=" "," ",HYPERLINK(CONCATENATE("#metadata!",ADDRESS(INDEX($Q$2:$Q$1001,MATCH(ROWS($O$2:O920),$O$2:$O$1001,0),0),1)),INDEX($T$2:$T$1001,MATCH(ROWS($O$2:O920),$O$2:$O$1001,0),0)))</f>
        <v>0</v>
      </c>
      <c r="B920" s="4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4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4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4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4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4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4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4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4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4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OR(AND(IF(metadata!C920="",FALSE,TRUE),OR(exact(metadata!C920,"not applicable"),exact(metadata!C920,"missing: not collected"),exact(metadata!C920,"missing: not provided"),exact(metadata!C920,"missing: restricted access"))),AND(IF(metadata!C920="",FALSE,ISNUMBER(VALUE(metadata!C920))),metadata!C920&gt;0))</f>
        <v>0</v>
      </c>
      <c r="X920">
        <f>AND(IF(metadata!D920="",FALSE,TRUE),exact(metadata!D920,"weeks"))</f>
        <v>0</v>
      </c>
      <c r="Y920">
        <f>AND(IF(metadata!E920="",FALSE,TRUE),exact(metadata!E920,"urban biome"))</f>
        <v>0</v>
      </c>
      <c r="Z920">
        <f>AND(IF(metadata!F920="",FALSE,TRUE),exact(metadata!F920,"animal-associated habitat"))</f>
        <v>0</v>
      </c>
      <c r="AA920">
        <f>AND(IF(metadata!G920="",FALSE,TRUE),exact(metadata!G920,"mouse"))</f>
        <v>0</v>
      </c>
      <c r="AB920">
        <f>AND(IF(metadata!H920="",FALSE,TRUE),exact(metadata!H920,"Mus musculus"))</f>
        <v>0</v>
      </c>
      <c r="AC920">
        <f>AND(IF(metadata!I920="",FALSE,TRUE),exact(metadata!I920,"10090"))</f>
        <v>0</v>
      </c>
      <c r="AD920">
        <f>OR(AND(IF(metadata!J920="",FALSE,TRUE),OR(exact(metadata!J920,"not applicable"),exact(metadata!J920,"missing: not collected"),exact(metadata!J920,"missing: not provided"),exact(metadata!J920,"missing: restricted access"))),AND(IF(metadata!J920="",FALSE,ISNUMBER(VALUE(metadata!J920))),metadata!J920&gt;0))</f>
        <v>0</v>
      </c>
      <c r="AE920">
        <f>AND(IF(metadata!K920="",FALSE,TRUE),exact(metadata!K920,"g"))</f>
        <v>0</v>
      </c>
    </row>
    <row r="921" spans="1:31">
      <c r="A921" s="5">
        <f>IF(B921=" "," ",HYPERLINK(CONCATENATE("#metadata!",ADDRESS(INDEX($Q$2:$Q$1001,MATCH(ROWS($O$2:O921),$O$2:$O$1001,0),0),1)),INDEX($T$2:$T$1001,MATCH(ROWS($O$2:O921),$O$2:$O$1001,0),0)))</f>
        <v>0</v>
      </c>
      <c r="B921" s="4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4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4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4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4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4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4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4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4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4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OR(AND(IF(metadata!C921="",FALSE,TRUE),OR(exact(metadata!C921,"not applicable"),exact(metadata!C921,"missing: not collected"),exact(metadata!C921,"missing: not provided"),exact(metadata!C921,"missing: restricted access"))),AND(IF(metadata!C921="",FALSE,ISNUMBER(VALUE(metadata!C921))),metadata!C921&gt;0))</f>
        <v>0</v>
      </c>
      <c r="X921">
        <f>AND(IF(metadata!D921="",FALSE,TRUE),exact(metadata!D921,"weeks"))</f>
        <v>0</v>
      </c>
      <c r="Y921">
        <f>AND(IF(metadata!E921="",FALSE,TRUE),exact(metadata!E921,"urban biome"))</f>
        <v>0</v>
      </c>
      <c r="Z921">
        <f>AND(IF(metadata!F921="",FALSE,TRUE),exact(metadata!F921,"animal-associated habitat"))</f>
        <v>0</v>
      </c>
      <c r="AA921">
        <f>AND(IF(metadata!G921="",FALSE,TRUE),exact(metadata!G921,"mouse"))</f>
        <v>0</v>
      </c>
      <c r="AB921">
        <f>AND(IF(metadata!H921="",FALSE,TRUE),exact(metadata!H921,"Mus musculus"))</f>
        <v>0</v>
      </c>
      <c r="AC921">
        <f>AND(IF(metadata!I921="",FALSE,TRUE),exact(metadata!I921,"10090"))</f>
        <v>0</v>
      </c>
      <c r="AD921">
        <f>OR(AND(IF(metadata!J921="",FALSE,TRUE),OR(exact(metadata!J921,"not applicable"),exact(metadata!J921,"missing: not collected"),exact(metadata!J921,"missing: not provided"),exact(metadata!J921,"missing: restricted access"))),AND(IF(metadata!J921="",FALSE,ISNUMBER(VALUE(metadata!J921))),metadata!J921&gt;0))</f>
        <v>0</v>
      </c>
      <c r="AE921">
        <f>AND(IF(metadata!K921="",FALSE,TRUE),exact(metadata!K921,"g"))</f>
        <v>0</v>
      </c>
    </row>
    <row r="922" spans="1:31">
      <c r="A922" s="5">
        <f>IF(B922=" "," ",HYPERLINK(CONCATENATE("#metadata!",ADDRESS(INDEX($Q$2:$Q$1001,MATCH(ROWS($O$2:O922),$O$2:$O$1001,0),0),1)),INDEX($T$2:$T$1001,MATCH(ROWS($O$2:O922),$O$2:$O$1001,0),0)))</f>
        <v>0</v>
      </c>
      <c r="B922" s="4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4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4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4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4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4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4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4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4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4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OR(AND(IF(metadata!C922="",FALSE,TRUE),OR(exact(metadata!C922,"not applicable"),exact(metadata!C922,"missing: not collected"),exact(metadata!C922,"missing: not provided"),exact(metadata!C922,"missing: restricted access"))),AND(IF(metadata!C922="",FALSE,ISNUMBER(VALUE(metadata!C922))),metadata!C922&gt;0))</f>
        <v>0</v>
      </c>
      <c r="X922">
        <f>AND(IF(metadata!D922="",FALSE,TRUE),exact(metadata!D922,"weeks"))</f>
        <v>0</v>
      </c>
      <c r="Y922">
        <f>AND(IF(metadata!E922="",FALSE,TRUE),exact(metadata!E922,"urban biome"))</f>
        <v>0</v>
      </c>
      <c r="Z922">
        <f>AND(IF(metadata!F922="",FALSE,TRUE),exact(metadata!F922,"animal-associated habitat"))</f>
        <v>0</v>
      </c>
      <c r="AA922">
        <f>AND(IF(metadata!G922="",FALSE,TRUE),exact(metadata!G922,"mouse"))</f>
        <v>0</v>
      </c>
      <c r="AB922">
        <f>AND(IF(metadata!H922="",FALSE,TRUE),exact(metadata!H922,"Mus musculus"))</f>
        <v>0</v>
      </c>
      <c r="AC922">
        <f>AND(IF(metadata!I922="",FALSE,TRUE),exact(metadata!I922,"10090"))</f>
        <v>0</v>
      </c>
      <c r="AD922">
        <f>OR(AND(IF(metadata!J922="",FALSE,TRUE),OR(exact(metadata!J922,"not applicable"),exact(metadata!J922,"missing: not collected"),exact(metadata!J922,"missing: not provided"),exact(metadata!J922,"missing: restricted access"))),AND(IF(metadata!J922="",FALSE,ISNUMBER(VALUE(metadata!J922))),metadata!J922&gt;0))</f>
        <v>0</v>
      </c>
      <c r="AE922">
        <f>AND(IF(metadata!K922="",FALSE,TRUE),exact(metadata!K922,"g"))</f>
        <v>0</v>
      </c>
    </row>
    <row r="923" spans="1:31">
      <c r="A923" s="5">
        <f>IF(B923=" "," ",HYPERLINK(CONCATENATE("#metadata!",ADDRESS(INDEX($Q$2:$Q$1001,MATCH(ROWS($O$2:O923),$O$2:$O$1001,0),0),1)),INDEX($T$2:$T$1001,MATCH(ROWS($O$2:O923),$O$2:$O$1001,0),0)))</f>
        <v>0</v>
      </c>
      <c r="B923" s="4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4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4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4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4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4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4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4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4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4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OR(AND(IF(metadata!C923="",FALSE,TRUE),OR(exact(metadata!C923,"not applicable"),exact(metadata!C923,"missing: not collected"),exact(metadata!C923,"missing: not provided"),exact(metadata!C923,"missing: restricted access"))),AND(IF(metadata!C923="",FALSE,ISNUMBER(VALUE(metadata!C923))),metadata!C923&gt;0))</f>
        <v>0</v>
      </c>
      <c r="X923">
        <f>AND(IF(metadata!D923="",FALSE,TRUE),exact(metadata!D923,"weeks"))</f>
        <v>0</v>
      </c>
      <c r="Y923">
        <f>AND(IF(metadata!E923="",FALSE,TRUE),exact(metadata!E923,"urban biome"))</f>
        <v>0</v>
      </c>
      <c r="Z923">
        <f>AND(IF(metadata!F923="",FALSE,TRUE),exact(metadata!F923,"animal-associated habitat"))</f>
        <v>0</v>
      </c>
      <c r="AA923">
        <f>AND(IF(metadata!G923="",FALSE,TRUE),exact(metadata!G923,"mouse"))</f>
        <v>0</v>
      </c>
      <c r="AB923">
        <f>AND(IF(metadata!H923="",FALSE,TRUE),exact(metadata!H923,"Mus musculus"))</f>
        <v>0</v>
      </c>
      <c r="AC923">
        <f>AND(IF(metadata!I923="",FALSE,TRUE),exact(metadata!I923,"10090"))</f>
        <v>0</v>
      </c>
      <c r="AD923">
        <f>OR(AND(IF(metadata!J923="",FALSE,TRUE),OR(exact(metadata!J923,"not applicable"),exact(metadata!J923,"missing: not collected"),exact(metadata!J923,"missing: not provided"),exact(metadata!J923,"missing: restricted access"))),AND(IF(metadata!J923="",FALSE,ISNUMBER(VALUE(metadata!J923))),metadata!J923&gt;0))</f>
        <v>0</v>
      </c>
      <c r="AE923">
        <f>AND(IF(metadata!K923="",FALSE,TRUE),exact(metadata!K923,"g"))</f>
        <v>0</v>
      </c>
    </row>
    <row r="924" spans="1:31">
      <c r="A924" s="5">
        <f>IF(B924=" "," ",HYPERLINK(CONCATENATE("#metadata!",ADDRESS(INDEX($Q$2:$Q$1001,MATCH(ROWS($O$2:O924),$O$2:$O$1001,0),0),1)),INDEX($T$2:$T$1001,MATCH(ROWS($O$2:O924),$O$2:$O$1001,0),0)))</f>
        <v>0</v>
      </c>
      <c r="B924" s="4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4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4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4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4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4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4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4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4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4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OR(AND(IF(metadata!C924="",FALSE,TRUE),OR(exact(metadata!C924,"not applicable"),exact(metadata!C924,"missing: not collected"),exact(metadata!C924,"missing: not provided"),exact(metadata!C924,"missing: restricted access"))),AND(IF(metadata!C924="",FALSE,ISNUMBER(VALUE(metadata!C924))),metadata!C924&gt;0))</f>
        <v>0</v>
      </c>
      <c r="X924">
        <f>AND(IF(metadata!D924="",FALSE,TRUE),exact(metadata!D924,"weeks"))</f>
        <v>0</v>
      </c>
      <c r="Y924">
        <f>AND(IF(metadata!E924="",FALSE,TRUE),exact(metadata!E924,"urban biome"))</f>
        <v>0</v>
      </c>
      <c r="Z924">
        <f>AND(IF(metadata!F924="",FALSE,TRUE),exact(metadata!F924,"animal-associated habitat"))</f>
        <v>0</v>
      </c>
      <c r="AA924">
        <f>AND(IF(metadata!G924="",FALSE,TRUE),exact(metadata!G924,"mouse"))</f>
        <v>0</v>
      </c>
      <c r="AB924">
        <f>AND(IF(metadata!H924="",FALSE,TRUE),exact(metadata!H924,"Mus musculus"))</f>
        <v>0</v>
      </c>
      <c r="AC924">
        <f>AND(IF(metadata!I924="",FALSE,TRUE),exact(metadata!I924,"10090"))</f>
        <v>0</v>
      </c>
      <c r="AD924">
        <f>OR(AND(IF(metadata!J924="",FALSE,TRUE),OR(exact(metadata!J924,"not applicable"),exact(metadata!J924,"missing: not collected"),exact(metadata!J924,"missing: not provided"),exact(metadata!J924,"missing: restricted access"))),AND(IF(metadata!J924="",FALSE,ISNUMBER(VALUE(metadata!J924))),metadata!J924&gt;0))</f>
        <v>0</v>
      </c>
      <c r="AE924">
        <f>AND(IF(metadata!K924="",FALSE,TRUE),exact(metadata!K924,"g"))</f>
        <v>0</v>
      </c>
    </row>
    <row r="925" spans="1:31">
      <c r="A925" s="5">
        <f>IF(B925=" "," ",HYPERLINK(CONCATENATE("#metadata!",ADDRESS(INDEX($Q$2:$Q$1001,MATCH(ROWS($O$2:O925),$O$2:$O$1001,0),0),1)),INDEX($T$2:$T$1001,MATCH(ROWS($O$2:O925),$O$2:$O$1001,0),0)))</f>
        <v>0</v>
      </c>
      <c r="B925" s="4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4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4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4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4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4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4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4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4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4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OR(AND(IF(metadata!C925="",FALSE,TRUE),OR(exact(metadata!C925,"not applicable"),exact(metadata!C925,"missing: not collected"),exact(metadata!C925,"missing: not provided"),exact(metadata!C925,"missing: restricted access"))),AND(IF(metadata!C925="",FALSE,ISNUMBER(VALUE(metadata!C925))),metadata!C925&gt;0))</f>
        <v>0</v>
      </c>
      <c r="X925">
        <f>AND(IF(metadata!D925="",FALSE,TRUE),exact(metadata!D925,"weeks"))</f>
        <v>0</v>
      </c>
      <c r="Y925">
        <f>AND(IF(metadata!E925="",FALSE,TRUE),exact(metadata!E925,"urban biome"))</f>
        <v>0</v>
      </c>
      <c r="Z925">
        <f>AND(IF(metadata!F925="",FALSE,TRUE),exact(metadata!F925,"animal-associated habitat"))</f>
        <v>0</v>
      </c>
      <c r="AA925">
        <f>AND(IF(metadata!G925="",FALSE,TRUE),exact(metadata!G925,"mouse"))</f>
        <v>0</v>
      </c>
      <c r="AB925">
        <f>AND(IF(metadata!H925="",FALSE,TRUE),exact(metadata!H925,"Mus musculus"))</f>
        <v>0</v>
      </c>
      <c r="AC925">
        <f>AND(IF(metadata!I925="",FALSE,TRUE),exact(metadata!I925,"10090"))</f>
        <v>0</v>
      </c>
      <c r="AD925">
        <f>OR(AND(IF(metadata!J925="",FALSE,TRUE),OR(exact(metadata!J925,"not applicable"),exact(metadata!J925,"missing: not collected"),exact(metadata!J925,"missing: not provided"),exact(metadata!J925,"missing: restricted access"))),AND(IF(metadata!J925="",FALSE,ISNUMBER(VALUE(metadata!J925))),metadata!J925&gt;0))</f>
        <v>0</v>
      </c>
      <c r="AE925">
        <f>AND(IF(metadata!K925="",FALSE,TRUE),exact(metadata!K925,"g"))</f>
        <v>0</v>
      </c>
    </row>
    <row r="926" spans="1:31">
      <c r="A926" s="5">
        <f>IF(B926=" "," ",HYPERLINK(CONCATENATE("#metadata!",ADDRESS(INDEX($Q$2:$Q$1001,MATCH(ROWS($O$2:O926),$O$2:$O$1001,0),0),1)),INDEX($T$2:$T$1001,MATCH(ROWS($O$2:O926),$O$2:$O$1001,0),0)))</f>
        <v>0</v>
      </c>
      <c r="B926" s="4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4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4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4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4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4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4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4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4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4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OR(AND(IF(metadata!C926="",FALSE,TRUE),OR(exact(metadata!C926,"not applicable"),exact(metadata!C926,"missing: not collected"),exact(metadata!C926,"missing: not provided"),exact(metadata!C926,"missing: restricted access"))),AND(IF(metadata!C926="",FALSE,ISNUMBER(VALUE(metadata!C926))),metadata!C926&gt;0))</f>
        <v>0</v>
      </c>
      <c r="X926">
        <f>AND(IF(metadata!D926="",FALSE,TRUE),exact(metadata!D926,"weeks"))</f>
        <v>0</v>
      </c>
      <c r="Y926">
        <f>AND(IF(metadata!E926="",FALSE,TRUE),exact(metadata!E926,"urban biome"))</f>
        <v>0</v>
      </c>
      <c r="Z926">
        <f>AND(IF(metadata!F926="",FALSE,TRUE),exact(metadata!F926,"animal-associated habitat"))</f>
        <v>0</v>
      </c>
      <c r="AA926">
        <f>AND(IF(metadata!G926="",FALSE,TRUE),exact(metadata!G926,"mouse"))</f>
        <v>0</v>
      </c>
      <c r="AB926">
        <f>AND(IF(metadata!H926="",FALSE,TRUE),exact(metadata!H926,"Mus musculus"))</f>
        <v>0</v>
      </c>
      <c r="AC926">
        <f>AND(IF(metadata!I926="",FALSE,TRUE),exact(metadata!I926,"10090"))</f>
        <v>0</v>
      </c>
      <c r="AD926">
        <f>OR(AND(IF(metadata!J926="",FALSE,TRUE),OR(exact(metadata!J926,"not applicable"),exact(metadata!J926,"missing: not collected"),exact(metadata!J926,"missing: not provided"),exact(metadata!J926,"missing: restricted access"))),AND(IF(metadata!J926="",FALSE,ISNUMBER(VALUE(metadata!J926))),metadata!J926&gt;0))</f>
        <v>0</v>
      </c>
      <c r="AE926">
        <f>AND(IF(metadata!K926="",FALSE,TRUE),exact(metadata!K926,"g"))</f>
        <v>0</v>
      </c>
    </row>
    <row r="927" spans="1:31">
      <c r="A927" s="5">
        <f>IF(B927=" "," ",HYPERLINK(CONCATENATE("#metadata!",ADDRESS(INDEX($Q$2:$Q$1001,MATCH(ROWS($O$2:O927),$O$2:$O$1001,0),0),1)),INDEX($T$2:$T$1001,MATCH(ROWS($O$2:O927),$O$2:$O$1001,0),0)))</f>
        <v>0</v>
      </c>
      <c r="B927" s="4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4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4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4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4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4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4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4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4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4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OR(AND(IF(metadata!C927="",FALSE,TRUE),OR(exact(metadata!C927,"not applicable"),exact(metadata!C927,"missing: not collected"),exact(metadata!C927,"missing: not provided"),exact(metadata!C927,"missing: restricted access"))),AND(IF(metadata!C927="",FALSE,ISNUMBER(VALUE(metadata!C927))),metadata!C927&gt;0))</f>
        <v>0</v>
      </c>
      <c r="X927">
        <f>AND(IF(metadata!D927="",FALSE,TRUE),exact(metadata!D927,"weeks"))</f>
        <v>0</v>
      </c>
      <c r="Y927">
        <f>AND(IF(metadata!E927="",FALSE,TRUE),exact(metadata!E927,"urban biome"))</f>
        <v>0</v>
      </c>
      <c r="Z927">
        <f>AND(IF(metadata!F927="",FALSE,TRUE),exact(metadata!F927,"animal-associated habitat"))</f>
        <v>0</v>
      </c>
      <c r="AA927">
        <f>AND(IF(metadata!G927="",FALSE,TRUE),exact(metadata!G927,"mouse"))</f>
        <v>0</v>
      </c>
      <c r="AB927">
        <f>AND(IF(metadata!H927="",FALSE,TRUE),exact(metadata!H927,"Mus musculus"))</f>
        <v>0</v>
      </c>
      <c r="AC927">
        <f>AND(IF(metadata!I927="",FALSE,TRUE),exact(metadata!I927,"10090"))</f>
        <v>0</v>
      </c>
      <c r="AD927">
        <f>OR(AND(IF(metadata!J927="",FALSE,TRUE),OR(exact(metadata!J927,"not applicable"),exact(metadata!J927,"missing: not collected"),exact(metadata!J927,"missing: not provided"),exact(metadata!J927,"missing: restricted access"))),AND(IF(metadata!J927="",FALSE,ISNUMBER(VALUE(metadata!J927))),metadata!J927&gt;0))</f>
        <v>0</v>
      </c>
      <c r="AE927">
        <f>AND(IF(metadata!K927="",FALSE,TRUE),exact(metadata!K927,"g"))</f>
        <v>0</v>
      </c>
    </row>
    <row r="928" spans="1:31">
      <c r="A928" s="5">
        <f>IF(B928=" "," ",HYPERLINK(CONCATENATE("#metadata!",ADDRESS(INDEX($Q$2:$Q$1001,MATCH(ROWS($O$2:O928),$O$2:$O$1001,0),0),1)),INDEX($T$2:$T$1001,MATCH(ROWS($O$2:O928),$O$2:$O$1001,0),0)))</f>
        <v>0</v>
      </c>
      <c r="B928" s="4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4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4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4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4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4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4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4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4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4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OR(AND(IF(metadata!C928="",FALSE,TRUE),OR(exact(metadata!C928,"not applicable"),exact(metadata!C928,"missing: not collected"),exact(metadata!C928,"missing: not provided"),exact(metadata!C928,"missing: restricted access"))),AND(IF(metadata!C928="",FALSE,ISNUMBER(VALUE(metadata!C928))),metadata!C928&gt;0))</f>
        <v>0</v>
      </c>
      <c r="X928">
        <f>AND(IF(metadata!D928="",FALSE,TRUE),exact(metadata!D928,"weeks"))</f>
        <v>0</v>
      </c>
      <c r="Y928">
        <f>AND(IF(metadata!E928="",FALSE,TRUE),exact(metadata!E928,"urban biome"))</f>
        <v>0</v>
      </c>
      <c r="Z928">
        <f>AND(IF(metadata!F928="",FALSE,TRUE),exact(metadata!F928,"animal-associated habitat"))</f>
        <v>0</v>
      </c>
      <c r="AA928">
        <f>AND(IF(metadata!G928="",FALSE,TRUE),exact(metadata!G928,"mouse"))</f>
        <v>0</v>
      </c>
      <c r="AB928">
        <f>AND(IF(metadata!H928="",FALSE,TRUE),exact(metadata!H928,"Mus musculus"))</f>
        <v>0</v>
      </c>
      <c r="AC928">
        <f>AND(IF(metadata!I928="",FALSE,TRUE),exact(metadata!I928,"10090"))</f>
        <v>0</v>
      </c>
      <c r="AD928">
        <f>OR(AND(IF(metadata!J928="",FALSE,TRUE),OR(exact(metadata!J928,"not applicable"),exact(metadata!J928,"missing: not collected"),exact(metadata!J928,"missing: not provided"),exact(metadata!J928,"missing: restricted access"))),AND(IF(metadata!J928="",FALSE,ISNUMBER(VALUE(metadata!J928))),metadata!J928&gt;0))</f>
        <v>0</v>
      </c>
      <c r="AE928">
        <f>AND(IF(metadata!K928="",FALSE,TRUE),exact(metadata!K928,"g"))</f>
        <v>0</v>
      </c>
    </row>
    <row r="929" spans="1:31">
      <c r="A929" s="5">
        <f>IF(B929=" "," ",HYPERLINK(CONCATENATE("#metadata!",ADDRESS(INDEX($Q$2:$Q$1001,MATCH(ROWS($O$2:O929),$O$2:$O$1001,0),0),1)),INDEX($T$2:$T$1001,MATCH(ROWS($O$2:O929),$O$2:$O$1001,0),0)))</f>
        <v>0</v>
      </c>
      <c r="B929" s="4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4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4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4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4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4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4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4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4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4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OR(AND(IF(metadata!C929="",FALSE,TRUE),OR(exact(metadata!C929,"not applicable"),exact(metadata!C929,"missing: not collected"),exact(metadata!C929,"missing: not provided"),exact(metadata!C929,"missing: restricted access"))),AND(IF(metadata!C929="",FALSE,ISNUMBER(VALUE(metadata!C929))),metadata!C929&gt;0))</f>
        <v>0</v>
      </c>
      <c r="X929">
        <f>AND(IF(metadata!D929="",FALSE,TRUE),exact(metadata!D929,"weeks"))</f>
        <v>0</v>
      </c>
      <c r="Y929">
        <f>AND(IF(metadata!E929="",FALSE,TRUE),exact(metadata!E929,"urban biome"))</f>
        <v>0</v>
      </c>
      <c r="Z929">
        <f>AND(IF(metadata!F929="",FALSE,TRUE),exact(metadata!F929,"animal-associated habitat"))</f>
        <v>0</v>
      </c>
      <c r="AA929">
        <f>AND(IF(metadata!G929="",FALSE,TRUE),exact(metadata!G929,"mouse"))</f>
        <v>0</v>
      </c>
      <c r="AB929">
        <f>AND(IF(metadata!H929="",FALSE,TRUE),exact(metadata!H929,"Mus musculus"))</f>
        <v>0</v>
      </c>
      <c r="AC929">
        <f>AND(IF(metadata!I929="",FALSE,TRUE),exact(metadata!I929,"10090"))</f>
        <v>0</v>
      </c>
      <c r="AD929">
        <f>OR(AND(IF(metadata!J929="",FALSE,TRUE),OR(exact(metadata!J929,"not applicable"),exact(metadata!J929,"missing: not collected"),exact(metadata!J929,"missing: not provided"),exact(metadata!J929,"missing: restricted access"))),AND(IF(metadata!J929="",FALSE,ISNUMBER(VALUE(metadata!J929))),metadata!J929&gt;0))</f>
        <v>0</v>
      </c>
      <c r="AE929">
        <f>AND(IF(metadata!K929="",FALSE,TRUE),exact(metadata!K929,"g"))</f>
        <v>0</v>
      </c>
    </row>
    <row r="930" spans="1:31">
      <c r="A930" s="5">
        <f>IF(B930=" "," ",HYPERLINK(CONCATENATE("#metadata!",ADDRESS(INDEX($Q$2:$Q$1001,MATCH(ROWS($O$2:O930),$O$2:$O$1001,0),0),1)),INDEX($T$2:$T$1001,MATCH(ROWS($O$2:O930),$O$2:$O$1001,0),0)))</f>
        <v>0</v>
      </c>
      <c r="B930" s="4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4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4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4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4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4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4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4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4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4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OR(AND(IF(metadata!C930="",FALSE,TRUE),OR(exact(metadata!C930,"not applicable"),exact(metadata!C930,"missing: not collected"),exact(metadata!C930,"missing: not provided"),exact(metadata!C930,"missing: restricted access"))),AND(IF(metadata!C930="",FALSE,ISNUMBER(VALUE(metadata!C930))),metadata!C930&gt;0))</f>
        <v>0</v>
      </c>
      <c r="X930">
        <f>AND(IF(metadata!D930="",FALSE,TRUE),exact(metadata!D930,"weeks"))</f>
        <v>0</v>
      </c>
      <c r="Y930">
        <f>AND(IF(metadata!E930="",FALSE,TRUE),exact(metadata!E930,"urban biome"))</f>
        <v>0</v>
      </c>
      <c r="Z930">
        <f>AND(IF(metadata!F930="",FALSE,TRUE),exact(metadata!F930,"animal-associated habitat"))</f>
        <v>0</v>
      </c>
      <c r="AA930">
        <f>AND(IF(metadata!G930="",FALSE,TRUE),exact(metadata!G930,"mouse"))</f>
        <v>0</v>
      </c>
      <c r="AB930">
        <f>AND(IF(metadata!H930="",FALSE,TRUE),exact(metadata!H930,"Mus musculus"))</f>
        <v>0</v>
      </c>
      <c r="AC930">
        <f>AND(IF(metadata!I930="",FALSE,TRUE),exact(metadata!I930,"10090"))</f>
        <v>0</v>
      </c>
      <c r="AD930">
        <f>OR(AND(IF(metadata!J930="",FALSE,TRUE),OR(exact(metadata!J930,"not applicable"),exact(metadata!J930,"missing: not collected"),exact(metadata!J930,"missing: not provided"),exact(metadata!J930,"missing: restricted access"))),AND(IF(metadata!J930="",FALSE,ISNUMBER(VALUE(metadata!J930))),metadata!J930&gt;0))</f>
        <v>0</v>
      </c>
      <c r="AE930">
        <f>AND(IF(metadata!K930="",FALSE,TRUE),exact(metadata!K930,"g"))</f>
        <v>0</v>
      </c>
    </row>
    <row r="931" spans="1:31">
      <c r="A931" s="5">
        <f>IF(B931=" "," ",HYPERLINK(CONCATENATE("#metadata!",ADDRESS(INDEX($Q$2:$Q$1001,MATCH(ROWS($O$2:O931),$O$2:$O$1001,0),0),1)),INDEX($T$2:$T$1001,MATCH(ROWS($O$2:O931),$O$2:$O$1001,0),0)))</f>
        <v>0</v>
      </c>
      <c r="B931" s="4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4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4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4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4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4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4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4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4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4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OR(AND(IF(metadata!C931="",FALSE,TRUE),OR(exact(metadata!C931,"not applicable"),exact(metadata!C931,"missing: not collected"),exact(metadata!C931,"missing: not provided"),exact(metadata!C931,"missing: restricted access"))),AND(IF(metadata!C931="",FALSE,ISNUMBER(VALUE(metadata!C931))),metadata!C931&gt;0))</f>
        <v>0</v>
      </c>
      <c r="X931">
        <f>AND(IF(metadata!D931="",FALSE,TRUE),exact(metadata!D931,"weeks"))</f>
        <v>0</v>
      </c>
      <c r="Y931">
        <f>AND(IF(metadata!E931="",FALSE,TRUE),exact(metadata!E931,"urban biome"))</f>
        <v>0</v>
      </c>
      <c r="Z931">
        <f>AND(IF(metadata!F931="",FALSE,TRUE),exact(metadata!F931,"animal-associated habitat"))</f>
        <v>0</v>
      </c>
      <c r="AA931">
        <f>AND(IF(metadata!G931="",FALSE,TRUE),exact(metadata!G931,"mouse"))</f>
        <v>0</v>
      </c>
      <c r="AB931">
        <f>AND(IF(metadata!H931="",FALSE,TRUE),exact(metadata!H931,"Mus musculus"))</f>
        <v>0</v>
      </c>
      <c r="AC931">
        <f>AND(IF(metadata!I931="",FALSE,TRUE),exact(metadata!I931,"10090"))</f>
        <v>0</v>
      </c>
      <c r="AD931">
        <f>OR(AND(IF(metadata!J931="",FALSE,TRUE),OR(exact(metadata!J931,"not applicable"),exact(metadata!J931,"missing: not collected"),exact(metadata!J931,"missing: not provided"),exact(metadata!J931,"missing: restricted access"))),AND(IF(metadata!J931="",FALSE,ISNUMBER(VALUE(metadata!J931))),metadata!J931&gt;0))</f>
        <v>0</v>
      </c>
      <c r="AE931">
        <f>AND(IF(metadata!K931="",FALSE,TRUE),exact(metadata!K931,"g"))</f>
        <v>0</v>
      </c>
    </row>
    <row r="932" spans="1:31">
      <c r="A932" s="5">
        <f>IF(B932=" "," ",HYPERLINK(CONCATENATE("#metadata!",ADDRESS(INDEX($Q$2:$Q$1001,MATCH(ROWS($O$2:O932),$O$2:$O$1001,0),0),1)),INDEX($T$2:$T$1001,MATCH(ROWS($O$2:O932),$O$2:$O$1001,0),0)))</f>
        <v>0</v>
      </c>
      <c r="B932" s="4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4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4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4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4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4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4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4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4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4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OR(AND(IF(metadata!C932="",FALSE,TRUE),OR(exact(metadata!C932,"not applicable"),exact(metadata!C932,"missing: not collected"),exact(metadata!C932,"missing: not provided"),exact(metadata!C932,"missing: restricted access"))),AND(IF(metadata!C932="",FALSE,ISNUMBER(VALUE(metadata!C932))),metadata!C932&gt;0))</f>
        <v>0</v>
      </c>
      <c r="X932">
        <f>AND(IF(metadata!D932="",FALSE,TRUE),exact(metadata!D932,"weeks"))</f>
        <v>0</v>
      </c>
      <c r="Y932">
        <f>AND(IF(metadata!E932="",FALSE,TRUE),exact(metadata!E932,"urban biome"))</f>
        <v>0</v>
      </c>
      <c r="Z932">
        <f>AND(IF(metadata!F932="",FALSE,TRUE),exact(metadata!F932,"animal-associated habitat"))</f>
        <v>0</v>
      </c>
      <c r="AA932">
        <f>AND(IF(metadata!G932="",FALSE,TRUE),exact(metadata!G932,"mouse"))</f>
        <v>0</v>
      </c>
      <c r="AB932">
        <f>AND(IF(metadata!H932="",FALSE,TRUE),exact(metadata!H932,"Mus musculus"))</f>
        <v>0</v>
      </c>
      <c r="AC932">
        <f>AND(IF(metadata!I932="",FALSE,TRUE),exact(metadata!I932,"10090"))</f>
        <v>0</v>
      </c>
      <c r="AD932">
        <f>OR(AND(IF(metadata!J932="",FALSE,TRUE),OR(exact(metadata!J932,"not applicable"),exact(metadata!J932,"missing: not collected"),exact(metadata!J932,"missing: not provided"),exact(metadata!J932,"missing: restricted access"))),AND(IF(metadata!J932="",FALSE,ISNUMBER(VALUE(metadata!J932))),metadata!J932&gt;0))</f>
        <v>0</v>
      </c>
      <c r="AE932">
        <f>AND(IF(metadata!K932="",FALSE,TRUE),exact(metadata!K932,"g"))</f>
        <v>0</v>
      </c>
    </row>
    <row r="933" spans="1:31">
      <c r="A933" s="5">
        <f>IF(B933=" "," ",HYPERLINK(CONCATENATE("#metadata!",ADDRESS(INDEX($Q$2:$Q$1001,MATCH(ROWS($O$2:O933),$O$2:$O$1001,0),0),1)),INDEX($T$2:$T$1001,MATCH(ROWS($O$2:O933),$O$2:$O$1001,0),0)))</f>
        <v>0</v>
      </c>
      <c r="B933" s="4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4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4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4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4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4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4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4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4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4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OR(AND(IF(metadata!C933="",FALSE,TRUE),OR(exact(metadata!C933,"not applicable"),exact(metadata!C933,"missing: not collected"),exact(metadata!C933,"missing: not provided"),exact(metadata!C933,"missing: restricted access"))),AND(IF(metadata!C933="",FALSE,ISNUMBER(VALUE(metadata!C933))),metadata!C933&gt;0))</f>
        <v>0</v>
      </c>
      <c r="X933">
        <f>AND(IF(metadata!D933="",FALSE,TRUE),exact(metadata!D933,"weeks"))</f>
        <v>0</v>
      </c>
      <c r="Y933">
        <f>AND(IF(metadata!E933="",FALSE,TRUE),exact(metadata!E933,"urban biome"))</f>
        <v>0</v>
      </c>
      <c r="Z933">
        <f>AND(IF(metadata!F933="",FALSE,TRUE),exact(metadata!F933,"animal-associated habitat"))</f>
        <v>0</v>
      </c>
      <c r="AA933">
        <f>AND(IF(metadata!G933="",FALSE,TRUE),exact(metadata!G933,"mouse"))</f>
        <v>0</v>
      </c>
      <c r="AB933">
        <f>AND(IF(metadata!H933="",FALSE,TRUE),exact(metadata!H933,"Mus musculus"))</f>
        <v>0</v>
      </c>
      <c r="AC933">
        <f>AND(IF(metadata!I933="",FALSE,TRUE),exact(metadata!I933,"10090"))</f>
        <v>0</v>
      </c>
      <c r="AD933">
        <f>OR(AND(IF(metadata!J933="",FALSE,TRUE),OR(exact(metadata!J933,"not applicable"),exact(metadata!J933,"missing: not collected"),exact(metadata!J933,"missing: not provided"),exact(metadata!J933,"missing: restricted access"))),AND(IF(metadata!J933="",FALSE,ISNUMBER(VALUE(metadata!J933))),metadata!J933&gt;0))</f>
        <v>0</v>
      </c>
      <c r="AE933">
        <f>AND(IF(metadata!K933="",FALSE,TRUE),exact(metadata!K933,"g"))</f>
        <v>0</v>
      </c>
    </row>
    <row r="934" spans="1:31">
      <c r="A934" s="5">
        <f>IF(B934=" "," ",HYPERLINK(CONCATENATE("#metadata!",ADDRESS(INDEX($Q$2:$Q$1001,MATCH(ROWS($O$2:O934),$O$2:$O$1001,0),0),1)),INDEX($T$2:$T$1001,MATCH(ROWS($O$2:O934),$O$2:$O$1001,0),0)))</f>
        <v>0</v>
      </c>
      <c r="B934" s="4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4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4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4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4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4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4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4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4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4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OR(AND(IF(metadata!C934="",FALSE,TRUE),OR(exact(metadata!C934,"not applicable"),exact(metadata!C934,"missing: not collected"),exact(metadata!C934,"missing: not provided"),exact(metadata!C934,"missing: restricted access"))),AND(IF(metadata!C934="",FALSE,ISNUMBER(VALUE(metadata!C934))),metadata!C934&gt;0))</f>
        <v>0</v>
      </c>
      <c r="X934">
        <f>AND(IF(metadata!D934="",FALSE,TRUE),exact(metadata!D934,"weeks"))</f>
        <v>0</v>
      </c>
      <c r="Y934">
        <f>AND(IF(metadata!E934="",FALSE,TRUE),exact(metadata!E934,"urban biome"))</f>
        <v>0</v>
      </c>
      <c r="Z934">
        <f>AND(IF(metadata!F934="",FALSE,TRUE),exact(metadata!F934,"animal-associated habitat"))</f>
        <v>0</v>
      </c>
      <c r="AA934">
        <f>AND(IF(metadata!G934="",FALSE,TRUE),exact(metadata!G934,"mouse"))</f>
        <v>0</v>
      </c>
      <c r="AB934">
        <f>AND(IF(metadata!H934="",FALSE,TRUE),exact(metadata!H934,"Mus musculus"))</f>
        <v>0</v>
      </c>
      <c r="AC934">
        <f>AND(IF(metadata!I934="",FALSE,TRUE),exact(metadata!I934,"10090"))</f>
        <v>0</v>
      </c>
      <c r="AD934">
        <f>OR(AND(IF(metadata!J934="",FALSE,TRUE),OR(exact(metadata!J934,"not applicable"),exact(metadata!J934,"missing: not collected"),exact(metadata!J934,"missing: not provided"),exact(metadata!J934,"missing: restricted access"))),AND(IF(metadata!J934="",FALSE,ISNUMBER(VALUE(metadata!J934))),metadata!J934&gt;0))</f>
        <v>0</v>
      </c>
      <c r="AE934">
        <f>AND(IF(metadata!K934="",FALSE,TRUE),exact(metadata!K934,"g"))</f>
        <v>0</v>
      </c>
    </row>
    <row r="935" spans="1:31">
      <c r="A935" s="5">
        <f>IF(B935=" "," ",HYPERLINK(CONCATENATE("#metadata!",ADDRESS(INDEX($Q$2:$Q$1001,MATCH(ROWS($O$2:O935),$O$2:$O$1001,0),0),1)),INDEX($T$2:$T$1001,MATCH(ROWS($O$2:O935),$O$2:$O$1001,0),0)))</f>
        <v>0</v>
      </c>
      <c r="B935" s="4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4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4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4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4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4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4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4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4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4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OR(AND(IF(metadata!C935="",FALSE,TRUE),OR(exact(metadata!C935,"not applicable"),exact(metadata!C935,"missing: not collected"),exact(metadata!C935,"missing: not provided"),exact(metadata!C935,"missing: restricted access"))),AND(IF(metadata!C935="",FALSE,ISNUMBER(VALUE(metadata!C935))),metadata!C935&gt;0))</f>
        <v>0</v>
      </c>
      <c r="X935">
        <f>AND(IF(metadata!D935="",FALSE,TRUE),exact(metadata!D935,"weeks"))</f>
        <v>0</v>
      </c>
      <c r="Y935">
        <f>AND(IF(metadata!E935="",FALSE,TRUE),exact(metadata!E935,"urban biome"))</f>
        <v>0</v>
      </c>
      <c r="Z935">
        <f>AND(IF(metadata!F935="",FALSE,TRUE),exact(metadata!F935,"animal-associated habitat"))</f>
        <v>0</v>
      </c>
      <c r="AA935">
        <f>AND(IF(metadata!G935="",FALSE,TRUE),exact(metadata!G935,"mouse"))</f>
        <v>0</v>
      </c>
      <c r="AB935">
        <f>AND(IF(metadata!H935="",FALSE,TRUE),exact(metadata!H935,"Mus musculus"))</f>
        <v>0</v>
      </c>
      <c r="AC935">
        <f>AND(IF(metadata!I935="",FALSE,TRUE),exact(metadata!I935,"10090"))</f>
        <v>0</v>
      </c>
      <c r="AD935">
        <f>OR(AND(IF(metadata!J935="",FALSE,TRUE),OR(exact(metadata!J935,"not applicable"),exact(metadata!J935,"missing: not collected"),exact(metadata!J935,"missing: not provided"),exact(metadata!J935,"missing: restricted access"))),AND(IF(metadata!J935="",FALSE,ISNUMBER(VALUE(metadata!J935))),metadata!J935&gt;0))</f>
        <v>0</v>
      </c>
      <c r="AE935">
        <f>AND(IF(metadata!K935="",FALSE,TRUE),exact(metadata!K935,"g"))</f>
        <v>0</v>
      </c>
    </row>
    <row r="936" spans="1:31">
      <c r="A936" s="5">
        <f>IF(B936=" "," ",HYPERLINK(CONCATENATE("#metadata!",ADDRESS(INDEX($Q$2:$Q$1001,MATCH(ROWS($O$2:O936),$O$2:$O$1001,0),0),1)),INDEX($T$2:$T$1001,MATCH(ROWS($O$2:O936),$O$2:$O$1001,0),0)))</f>
        <v>0</v>
      </c>
      <c r="B936" s="4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4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4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4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4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4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4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4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4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4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OR(AND(IF(metadata!C936="",FALSE,TRUE),OR(exact(metadata!C936,"not applicable"),exact(metadata!C936,"missing: not collected"),exact(metadata!C936,"missing: not provided"),exact(metadata!C936,"missing: restricted access"))),AND(IF(metadata!C936="",FALSE,ISNUMBER(VALUE(metadata!C936))),metadata!C936&gt;0))</f>
        <v>0</v>
      </c>
      <c r="X936">
        <f>AND(IF(metadata!D936="",FALSE,TRUE),exact(metadata!D936,"weeks"))</f>
        <v>0</v>
      </c>
      <c r="Y936">
        <f>AND(IF(metadata!E936="",FALSE,TRUE),exact(metadata!E936,"urban biome"))</f>
        <v>0</v>
      </c>
      <c r="Z936">
        <f>AND(IF(metadata!F936="",FALSE,TRUE),exact(metadata!F936,"animal-associated habitat"))</f>
        <v>0</v>
      </c>
      <c r="AA936">
        <f>AND(IF(metadata!G936="",FALSE,TRUE),exact(metadata!G936,"mouse"))</f>
        <v>0</v>
      </c>
      <c r="AB936">
        <f>AND(IF(metadata!H936="",FALSE,TRUE),exact(metadata!H936,"Mus musculus"))</f>
        <v>0</v>
      </c>
      <c r="AC936">
        <f>AND(IF(metadata!I936="",FALSE,TRUE),exact(metadata!I936,"10090"))</f>
        <v>0</v>
      </c>
      <c r="AD936">
        <f>OR(AND(IF(metadata!J936="",FALSE,TRUE),OR(exact(metadata!J936,"not applicable"),exact(metadata!J936,"missing: not collected"),exact(metadata!J936,"missing: not provided"),exact(metadata!J936,"missing: restricted access"))),AND(IF(metadata!J936="",FALSE,ISNUMBER(VALUE(metadata!J936))),metadata!J936&gt;0))</f>
        <v>0</v>
      </c>
      <c r="AE936">
        <f>AND(IF(metadata!K936="",FALSE,TRUE),exact(metadata!K936,"g"))</f>
        <v>0</v>
      </c>
    </row>
    <row r="937" spans="1:31">
      <c r="A937" s="5">
        <f>IF(B937=" "," ",HYPERLINK(CONCATENATE("#metadata!",ADDRESS(INDEX($Q$2:$Q$1001,MATCH(ROWS($O$2:O937),$O$2:$O$1001,0),0),1)),INDEX($T$2:$T$1001,MATCH(ROWS($O$2:O937),$O$2:$O$1001,0),0)))</f>
        <v>0</v>
      </c>
      <c r="B937" s="4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4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4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4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4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4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4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4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4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4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OR(AND(IF(metadata!C937="",FALSE,TRUE),OR(exact(metadata!C937,"not applicable"),exact(metadata!C937,"missing: not collected"),exact(metadata!C937,"missing: not provided"),exact(metadata!C937,"missing: restricted access"))),AND(IF(metadata!C937="",FALSE,ISNUMBER(VALUE(metadata!C937))),metadata!C937&gt;0))</f>
        <v>0</v>
      </c>
      <c r="X937">
        <f>AND(IF(metadata!D937="",FALSE,TRUE),exact(metadata!D937,"weeks"))</f>
        <v>0</v>
      </c>
      <c r="Y937">
        <f>AND(IF(metadata!E937="",FALSE,TRUE),exact(metadata!E937,"urban biome"))</f>
        <v>0</v>
      </c>
      <c r="Z937">
        <f>AND(IF(metadata!F937="",FALSE,TRUE),exact(metadata!F937,"animal-associated habitat"))</f>
        <v>0</v>
      </c>
      <c r="AA937">
        <f>AND(IF(metadata!G937="",FALSE,TRUE),exact(metadata!G937,"mouse"))</f>
        <v>0</v>
      </c>
      <c r="AB937">
        <f>AND(IF(metadata!H937="",FALSE,TRUE),exact(metadata!H937,"Mus musculus"))</f>
        <v>0</v>
      </c>
      <c r="AC937">
        <f>AND(IF(metadata!I937="",FALSE,TRUE),exact(metadata!I937,"10090"))</f>
        <v>0</v>
      </c>
      <c r="AD937">
        <f>OR(AND(IF(metadata!J937="",FALSE,TRUE),OR(exact(metadata!J937,"not applicable"),exact(metadata!J937,"missing: not collected"),exact(metadata!J937,"missing: not provided"),exact(metadata!J937,"missing: restricted access"))),AND(IF(metadata!J937="",FALSE,ISNUMBER(VALUE(metadata!J937))),metadata!J937&gt;0))</f>
        <v>0</v>
      </c>
      <c r="AE937">
        <f>AND(IF(metadata!K937="",FALSE,TRUE),exact(metadata!K937,"g"))</f>
        <v>0</v>
      </c>
    </row>
    <row r="938" spans="1:31">
      <c r="A938" s="5">
        <f>IF(B938=" "," ",HYPERLINK(CONCATENATE("#metadata!",ADDRESS(INDEX($Q$2:$Q$1001,MATCH(ROWS($O$2:O938),$O$2:$O$1001,0),0),1)),INDEX($T$2:$T$1001,MATCH(ROWS($O$2:O938),$O$2:$O$1001,0),0)))</f>
        <v>0</v>
      </c>
      <c r="B938" s="4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4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4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4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4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4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4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4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4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4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OR(AND(IF(metadata!C938="",FALSE,TRUE),OR(exact(metadata!C938,"not applicable"),exact(metadata!C938,"missing: not collected"),exact(metadata!C938,"missing: not provided"),exact(metadata!C938,"missing: restricted access"))),AND(IF(metadata!C938="",FALSE,ISNUMBER(VALUE(metadata!C938))),metadata!C938&gt;0))</f>
        <v>0</v>
      </c>
      <c r="X938">
        <f>AND(IF(metadata!D938="",FALSE,TRUE),exact(metadata!D938,"weeks"))</f>
        <v>0</v>
      </c>
      <c r="Y938">
        <f>AND(IF(metadata!E938="",FALSE,TRUE),exact(metadata!E938,"urban biome"))</f>
        <v>0</v>
      </c>
      <c r="Z938">
        <f>AND(IF(metadata!F938="",FALSE,TRUE),exact(metadata!F938,"animal-associated habitat"))</f>
        <v>0</v>
      </c>
      <c r="AA938">
        <f>AND(IF(metadata!G938="",FALSE,TRUE),exact(metadata!G938,"mouse"))</f>
        <v>0</v>
      </c>
      <c r="AB938">
        <f>AND(IF(metadata!H938="",FALSE,TRUE),exact(metadata!H938,"Mus musculus"))</f>
        <v>0</v>
      </c>
      <c r="AC938">
        <f>AND(IF(metadata!I938="",FALSE,TRUE),exact(metadata!I938,"10090"))</f>
        <v>0</v>
      </c>
      <c r="AD938">
        <f>OR(AND(IF(metadata!J938="",FALSE,TRUE),OR(exact(metadata!J938,"not applicable"),exact(metadata!J938,"missing: not collected"),exact(metadata!J938,"missing: not provided"),exact(metadata!J938,"missing: restricted access"))),AND(IF(metadata!J938="",FALSE,ISNUMBER(VALUE(metadata!J938))),metadata!J938&gt;0))</f>
        <v>0</v>
      </c>
      <c r="AE938">
        <f>AND(IF(metadata!K938="",FALSE,TRUE),exact(metadata!K938,"g"))</f>
        <v>0</v>
      </c>
    </row>
    <row r="939" spans="1:31">
      <c r="A939" s="5">
        <f>IF(B939=" "," ",HYPERLINK(CONCATENATE("#metadata!",ADDRESS(INDEX($Q$2:$Q$1001,MATCH(ROWS($O$2:O939),$O$2:$O$1001,0),0),1)),INDEX($T$2:$T$1001,MATCH(ROWS($O$2:O939),$O$2:$O$1001,0),0)))</f>
        <v>0</v>
      </c>
      <c r="B939" s="4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4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4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4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4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4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4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4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4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4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OR(AND(IF(metadata!C939="",FALSE,TRUE),OR(exact(metadata!C939,"not applicable"),exact(metadata!C939,"missing: not collected"),exact(metadata!C939,"missing: not provided"),exact(metadata!C939,"missing: restricted access"))),AND(IF(metadata!C939="",FALSE,ISNUMBER(VALUE(metadata!C939))),metadata!C939&gt;0))</f>
        <v>0</v>
      </c>
      <c r="X939">
        <f>AND(IF(metadata!D939="",FALSE,TRUE),exact(metadata!D939,"weeks"))</f>
        <v>0</v>
      </c>
      <c r="Y939">
        <f>AND(IF(metadata!E939="",FALSE,TRUE),exact(metadata!E939,"urban biome"))</f>
        <v>0</v>
      </c>
      <c r="Z939">
        <f>AND(IF(metadata!F939="",FALSE,TRUE),exact(metadata!F939,"animal-associated habitat"))</f>
        <v>0</v>
      </c>
      <c r="AA939">
        <f>AND(IF(metadata!G939="",FALSE,TRUE),exact(metadata!G939,"mouse"))</f>
        <v>0</v>
      </c>
      <c r="AB939">
        <f>AND(IF(metadata!H939="",FALSE,TRUE),exact(metadata!H939,"Mus musculus"))</f>
        <v>0</v>
      </c>
      <c r="AC939">
        <f>AND(IF(metadata!I939="",FALSE,TRUE),exact(metadata!I939,"10090"))</f>
        <v>0</v>
      </c>
      <c r="AD939">
        <f>OR(AND(IF(metadata!J939="",FALSE,TRUE),OR(exact(metadata!J939,"not applicable"),exact(metadata!J939,"missing: not collected"),exact(metadata!J939,"missing: not provided"),exact(metadata!J939,"missing: restricted access"))),AND(IF(metadata!J939="",FALSE,ISNUMBER(VALUE(metadata!J939))),metadata!J939&gt;0))</f>
        <v>0</v>
      </c>
      <c r="AE939">
        <f>AND(IF(metadata!K939="",FALSE,TRUE),exact(metadata!K939,"g"))</f>
        <v>0</v>
      </c>
    </row>
    <row r="940" spans="1:31">
      <c r="A940" s="5">
        <f>IF(B940=" "," ",HYPERLINK(CONCATENATE("#metadata!",ADDRESS(INDEX($Q$2:$Q$1001,MATCH(ROWS($O$2:O940),$O$2:$O$1001,0),0),1)),INDEX($T$2:$T$1001,MATCH(ROWS($O$2:O940),$O$2:$O$1001,0),0)))</f>
        <v>0</v>
      </c>
      <c r="B940" s="4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4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4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4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4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4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4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4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4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4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OR(AND(IF(metadata!C940="",FALSE,TRUE),OR(exact(metadata!C940,"not applicable"),exact(metadata!C940,"missing: not collected"),exact(metadata!C940,"missing: not provided"),exact(metadata!C940,"missing: restricted access"))),AND(IF(metadata!C940="",FALSE,ISNUMBER(VALUE(metadata!C940))),metadata!C940&gt;0))</f>
        <v>0</v>
      </c>
      <c r="X940">
        <f>AND(IF(metadata!D940="",FALSE,TRUE),exact(metadata!D940,"weeks"))</f>
        <v>0</v>
      </c>
      <c r="Y940">
        <f>AND(IF(metadata!E940="",FALSE,TRUE),exact(metadata!E940,"urban biome"))</f>
        <v>0</v>
      </c>
      <c r="Z940">
        <f>AND(IF(metadata!F940="",FALSE,TRUE),exact(metadata!F940,"animal-associated habitat"))</f>
        <v>0</v>
      </c>
      <c r="AA940">
        <f>AND(IF(metadata!G940="",FALSE,TRUE),exact(metadata!G940,"mouse"))</f>
        <v>0</v>
      </c>
      <c r="AB940">
        <f>AND(IF(metadata!H940="",FALSE,TRUE),exact(metadata!H940,"Mus musculus"))</f>
        <v>0</v>
      </c>
      <c r="AC940">
        <f>AND(IF(metadata!I940="",FALSE,TRUE),exact(metadata!I940,"10090"))</f>
        <v>0</v>
      </c>
      <c r="AD940">
        <f>OR(AND(IF(metadata!J940="",FALSE,TRUE),OR(exact(metadata!J940,"not applicable"),exact(metadata!J940,"missing: not collected"),exact(metadata!J940,"missing: not provided"),exact(metadata!J940,"missing: restricted access"))),AND(IF(metadata!J940="",FALSE,ISNUMBER(VALUE(metadata!J940))),metadata!J940&gt;0))</f>
        <v>0</v>
      </c>
      <c r="AE940">
        <f>AND(IF(metadata!K940="",FALSE,TRUE),exact(metadata!K940,"g"))</f>
        <v>0</v>
      </c>
    </row>
    <row r="941" spans="1:31">
      <c r="A941" s="5">
        <f>IF(B941=" "," ",HYPERLINK(CONCATENATE("#metadata!",ADDRESS(INDEX($Q$2:$Q$1001,MATCH(ROWS($O$2:O941),$O$2:$O$1001,0),0),1)),INDEX($T$2:$T$1001,MATCH(ROWS($O$2:O941),$O$2:$O$1001,0),0)))</f>
        <v>0</v>
      </c>
      <c r="B941" s="4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4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4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4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4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4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4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4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4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4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OR(AND(IF(metadata!C941="",FALSE,TRUE),OR(exact(metadata!C941,"not applicable"),exact(metadata!C941,"missing: not collected"),exact(metadata!C941,"missing: not provided"),exact(metadata!C941,"missing: restricted access"))),AND(IF(metadata!C941="",FALSE,ISNUMBER(VALUE(metadata!C941))),metadata!C941&gt;0))</f>
        <v>0</v>
      </c>
      <c r="X941">
        <f>AND(IF(metadata!D941="",FALSE,TRUE),exact(metadata!D941,"weeks"))</f>
        <v>0</v>
      </c>
      <c r="Y941">
        <f>AND(IF(metadata!E941="",FALSE,TRUE),exact(metadata!E941,"urban biome"))</f>
        <v>0</v>
      </c>
      <c r="Z941">
        <f>AND(IF(metadata!F941="",FALSE,TRUE),exact(metadata!F941,"animal-associated habitat"))</f>
        <v>0</v>
      </c>
      <c r="AA941">
        <f>AND(IF(metadata!G941="",FALSE,TRUE),exact(metadata!G941,"mouse"))</f>
        <v>0</v>
      </c>
      <c r="AB941">
        <f>AND(IF(metadata!H941="",FALSE,TRUE),exact(metadata!H941,"Mus musculus"))</f>
        <v>0</v>
      </c>
      <c r="AC941">
        <f>AND(IF(metadata!I941="",FALSE,TRUE),exact(metadata!I941,"10090"))</f>
        <v>0</v>
      </c>
      <c r="AD941">
        <f>OR(AND(IF(metadata!J941="",FALSE,TRUE),OR(exact(metadata!J941,"not applicable"),exact(metadata!J941,"missing: not collected"),exact(metadata!J941,"missing: not provided"),exact(metadata!J941,"missing: restricted access"))),AND(IF(metadata!J941="",FALSE,ISNUMBER(VALUE(metadata!J941))),metadata!J941&gt;0))</f>
        <v>0</v>
      </c>
      <c r="AE941">
        <f>AND(IF(metadata!K941="",FALSE,TRUE),exact(metadata!K941,"g"))</f>
        <v>0</v>
      </c>
    </row>
    <row r="942" spans="1:31">
      <c r="A942" s="5">
        <f>IF(B942=" "," ",HYPERLINK(CONCATENATE("#metadata!",ADDRESS(INDEX($Q$2:$Q$1001,MATCH(ROWS($O$2:O942),$O$2:$O$1001,0),0),1)),INDEX($T$2:$T$1001,MATCH(ROWS($O$2:O942),$O$2:$O$1001,0),0)))</f>
        <v>0</v>
      </c>
      <c r="B942" s="4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4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4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4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4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4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4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4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4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4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OR(AND(IF(metadata!C942="",FALSE,TRUE),OR(exact(metadata!C942,"not applicable"),exact(metadata!C942,"missing: not collected"),exact(metadata!C942,"missing: not provided"),exact(metadata!C942,"missing: restricted access"))),AND(IF(metadata!C942="",FALSE,ISNUMBER(VALUE(metadata!C942))),metadata!C942&gt;0))</f>
        <v>0</v>
      </c>
      <c r="X942">
        <f>AND(IF(metadata!D942="",FALSE,TRUE),exact(metadata!D942,"weeks"))</f>
        <v>0</v>
      </c>
      <c r="Y942">
        <f>AND(IF(metadata!E942="",FALSE,TRUE),exact(metadata!E942,"urban biome"))</f>
        <v>0</v>
      </c>
      <c r="Z942">
        <f>AND(IF(metadata!F942="",FALSE,TRUE),exact(metadata!F942,"animal-associated habitat"))</f>
        <v>0</v>
      </c>
      <c r="AA942">
        <f>AND(IF(metadata!G942="",FALSE,TRUE),exact(metadata!G942,"mouse"))</f>
        <v>0</v>
      </c>
      <c r="AB942">
        <f>AND(IF(metadata!H942="",FALSE,TRUE),exact(metadata!H942,"Mus musculus"))</f>
        <v>0</v>
      </c>
      <c r="AC942">
        <f>AND(IF(metadata!I942="",FALSE,TRUE),exact(metadata!I942,"10090"))</f>
        <v>0</v>
      </c>
      <c r="AD942">
        <f>OR(AND(IF(metadata!J942="",FALSE,TRUE),OR(exact(metadata!J942,"not applicable"),exact(metadata!J942,"missing: not collected"),exact(metadata!J942,"missing: not provided"),exact(metadata!J942,"missing: restricted access"))),AND(IF(metadata!J942="",FALSE,ISNUMBER(VALUE(metadata!J942))),metadata!J942&gt;0))</f>
        <v>0</v>
      </c>
      <c r="AE942">
        <f>AND(IF(metadata!K942="",FALSE,TRUE),exact(metadata!K942,"g"))</f>
        <v>0</v>
      </c>
    </row>
    <row r="943" spans="1:31">
      <c r="A943" s="5">
        <f>IF(B943=" "," ",HYPERLINK(CONCATENATE("#metadata!",ADDRESS(INDEX($Q$2:$Q$1001,MATCH(ROWS($O$2:O943),$O$2:$O$1001,0),0),1)),INDEX($T$2:$T$1001,MATCH(ROWS($O$2:O943),$O$2:$O$1001,0),0)))</f>
        <v>0</v>
      </c>
      <c r="B943" s="4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4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4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4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4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4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4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4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4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4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OR(AND(IF(metadata!C943="",FALSE,TRUE),OR(exact(metadata!C943,"not applicable"),exact(metadata!C943,"missing: not collected"),exact(metadata!C943,"missing: not provided"),exact(metadata!C943,"missing: restricted access"))),AND(IF(metadata!C943="",FALSE,ISNUMBER(VALUE(metadata!C943))),metadata!C943&gt;0))</f>
        <v>0</v>
      </c>
      <c r="X943">
        <f>AND(IF(metadata!D943="",FALSE,TRUE),exact(metadata!D943,"weeks"))</f>
        <v>0</v>
      </c>
      <c r="Y943">
        <f>AND(IF(metadata!E943="",FALSE,TRUE),exact(metadata!E943,"urban biome"))</f>
        <v>0</v>
      </c>
      <c r="Z943">
        <f>AND(IF(metadata!F943="",FALSE,TRUE),exact(metadata!F943,"animal-associated habitat"))</f>
        <v>0</v>
      </c>
      <c r="AA943">
        <f>AND(IF(metadata!G943="",FALSE,TRUE),exact(metadata!G943,"mouse"))</f>
        <v>0</v>
      </c>
      <c r="AB943">
        <f>AND(IF(metadata!H943="",FALSE,TRUE),exact(metadata!H943,"Mus musculus"))</f>
        <v>0</v>
      </c>
      <c r="AC943">
        <f>AND(IF(metadata!I943="",FALSE,TRUE),exact(metadata!I943,"10090"))</f>
        <v>0</v>
      </c>
      <c r="AD943">
        <f>OR(AND(IF(metadata!J943="",FALSE,TRUE),OR(exact(metadata!J943,"not applicable"),exact(metadata!J943,"missing: not collected"),exact(metadata!J943,"missing: not provided"),exact(metadata!J943,"missing: restricted access"))),AND(IF(metadata!J943="",FALSE,ISNUMBER(VALUE(metadata!J943))),metadata!J943&gt;0))</f>
        <v>0</v>
      </c>
      <c r="AE943">
        <f>AND(IF(metadata!K943="",FALSE,TRUE),exact(metadata!K943,"g"))</f>
        <v>0</v>
      </c>
    </row>
    <row r="944" spans="1:31">
      <c r="A944" s="5">
        <f>IF(B944=" "," ",HYPERLINK(CONCATENATE("#metadata!",ADDRESS(INDEX($Q$2:$Q$1001,MATCH(ROWS($O$2:O944),$O$2:$O$1001,0),0),1)),INDEX($T$2:$T$1001,MATCH(ROWS($O$2:O944),$O$2:$O$1001,0),0)))</f>
        <v>0</v>
      </c>
      <c r="B944" s="4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4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4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4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4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4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4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4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4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4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OR(AND(IF(metadata!C944="",FALSE,TRUE),OR(exact(metadata!C944,"not applicable"),exact(metadata!C944,"missing: not collected"),exact(metadata!C944,"missing: not provided"),exact(metadata!C944,"missing: restricted access"))),AND(IF(metadata!C944="",FALSE,ISNUMBER(VALUE(metadata!C944))),metadata!C944&gt;0))</f>
        <v>0</v>
      </c>
      <c r="X944">
        <f>AND(IF(metadata!D944="",FALSE,TRUE),exact(metadata!D944,"weeks"))</f>
        <v>0</v>
      </c>
      <c r="Y944">
        <f>AND(IF(metadata!E944="",FALSE,TRUE),exact(metadata!E944,"urban biome"))</f>
        <v>0</v>
      </c>
      <c r="Z944">
        <f>AND(IF(metadata!F944="",FALSE,TRUE),exact(metadata!F944,"animal-associated habitat"))</f>
        <v>0</v>
      </c>
      <c r="AA944">
        <f>AND(IF(metadata!G944="",FALSE,TRUE),exact(metadata!G944,"mouse"))</f>
        <v>0</v>
      </c>
      <c r="AB944">
        <f>AND(IF(metadata!H944="",FALSE,TRUE),exact(metadata!H944,"Mus musculus"))</f>
        <v>0</v>
      </c>
      <c r="AC944">
        <f>AND(IF(metadata!I944="",FALSE,TRUE),exact(metadata!I944,"10090"))</f>
        <v>0</v>
      </c>
      <c r="AD944">
        <f>OR(AND(IF(metadata!J944="",FALSE,TRUE),OR(exact(metadata!J944,"not applicable"),exact(metadata!J944,"missing: not collected"),exact(metadata!J944,"missing: not provided"),exact(metadata!J944,"missing: restricted access"))),AND(IF(metadata!J944="",FALSE,ISNUMBER(VALUE(metadata!J944))),metadata!J944&gt;0))</f>
        <v>0</v>
      </c>
      <c r="AE944">
        <f>AND(IF(metadata!K944="",FALSE,TRUE),exact(metadata!K944,"g"))</f>
        <v>0</v>
      </c>
    </row>
    <row r="945" spans="1:31">
      <c r="A945" s="5">
        <f>IF(B945=" "," ",HYPERLINK(CONCATENATE("#metadata!",ADDRESS(INDEX($Q$2:$Q$1001,MATCH(ROWS($O$2:O945),$O$2:$O$1001,0),0),1)),INDEX($T$2:$T$1001,MATCH(ROWS($O$2:O945),$O$2:$O$1001,0),0)))</f>
        <v>0</v>
      </c>
      <c r="B945" s="4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4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4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4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4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4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4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4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4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4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OR(AND(IF(metadata!C945="",FALSE,TRUE),OR(exact(metadata!C945,"not applicable"),exact(metadata!C945,"missing: not collected"),exact(metadata!C945,"missing: not provided"),exact(metadata!C945,"missing: restricted access"))),AND(IF(metadata!C945="",FALSE,ISNUMBER(VALUE(metadata!C945))),metadata!C945&gt;0))</f>
        <v>0</v>
      </c>
      <c r="X945">
        <f>AND(IF(metadata!D945="",FALSE,TRUE),exact(metadata!D945,"weeks"))</f>
        <v>0</v>
      </c>
      <c r="Y945">
        <f>AND(IF(metadata!E945="",FALSE,TRUE),exact(metadata!E945,"urban biome"))</f>
        <v>0</v>
      </c>
      <c r="Z945">
        <f>AND(IF(metadata!F945="",FALSE,TRUE),exact(metadata!F945,"animal-associated habitat"))</f>
        <v>0</v>
      </c>
      <c r="AA945">
        <f>AND(IF(metadata!G945="",FALSE,TRUE),exact(metadata!G945,"mouse"))</f>
        <v>0</v>
      </c>
      <c r="AB945">
        <f>AND(IF(metadata!H945="",FALSE,TRUE),exact(metadata!H945,"Mus musculus"))</f>
        <v>0</v>
      </c>
      <c r="AC945">
        <f>AND(IF(metadata!I945="",FALSE,TRUE),exact(metadata!I945,"10090"))</f>
        <v>0</v>
      </c>
      <c r="AD945">
        <f>OR(AND(IF(metadata!J945="",FALSE,TRUE),OR(exact(metadata!J945,"not applicable"),exact(metadata!J945,"missing: not collected"),exact(metadata!J945,"missing: not provided"),exact(metadata!J945,"missing: restricted access"))),AND(IF(metadata!J945="",FALSE,ISNUMBER(VALUE(metadata!J945))),metadata!J945&gt;0))</f>
        <v>0</v>
      </c>
      <c r="AE945">
        <f>AND(IF(metadata!K945="",FALSE,TRUE),exact(metadata!K945,"g"))</f>
        <v>0</v>
      </c>
    </row>
    <row r="946" spans="1:31">
      <c r="A946" s="5">
        <f>IF(B946=" "," ",HYPERLINK(CONCATENATE("#metadata!",ADDRESS(INDEX($Q$2:$Q$1001,MATCH(ROWS($O$2:O946),$O$2:$O$1001,0),0),1)),INDEX($T$2:$T$1001,MATCH(ROWS($O$2:O946),$O$2:$O$1001,0),0)))</f>
        <v>0</v>
      </c>
      <c r="B946" s="4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4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4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4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4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4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4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4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4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4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OR(AND(IF(metadata!C946="",FALSE,TRUE),OR(exact(metadata!C946,"not applicable"),exact(metadata!C946,"missing: not collected"),exact(metadata!C946,"missing: not provided"),exact(metadata!C946,"missing: restricted access"))),AND(IF(metadata!C946="",FALSE,ISNUMBER(VALUE(metadata!C946))),metadata!C946&gt;0))</f>
        <v>0</v>
      </c>
      <c r="X946">
        <f>AND(IF(metadata!D946="",FALSE,TRUE),exact(metadata!D946,"weeks"))</f>
        <v>0</v>
      </c>
      <c r="Y946">
        <f>AND(IF(metadata!E946="",FALSE,TRUE),exact(metadata!E946,"urban biome"))</f>
        <v>0</v>
      </c>
      <c r="Z946">
        <f>AND(IF(metadata!F946="",FALSE,TRUE),exact(metadata!F946,"animal-associated habitat"))</f>
        <v>0</v>
      </c>
      <c r="AA946">
        <f>AND(IF(metadata!G946="",FALSE,TRUE),exact(metadata!G946,"mouse"))</f>
        <v>0</v>
      </c>
      <c r="AB946">
        <f>AND(IF(metadata!H946="",FALSE,TRUE),exact(metadata!H946,"Mus musculus"))</f>
        <v>0</v>
      </c>
      <c r="AC946">
        <f>AND(IF(metadata!I946="",FALSE,TRUE),exact(metadata!I946,"10090"))</f>
        <v>0</v>
      </c>
      <c r="AD946">
        <f>OR(AND(IF(metadata!J946="",FALSE,TRUE),OR(exact(metadata!J946,"not applicable"),exact(metadata!J946,"missing: not collected"),exact(metadata!J946,"missing: not provided"),exact(metadata!J946,"missing: restricted access"))),AND(IF(metadata!J946="",FALSE,ISNUMBER(VALUE(metadata!J946))),metadata!J946&gt;0))</f>
        <v>0</v>
      </c>
      <c r="AE946">
        <f>AND(IF(metadata!K946="",FALSE,TRUE),exact(metadata!K946,"g"))</f>
        <v>0</v>
      </c>
    </row>
    <row r="947" spans="1:31">
      <c r="A947" s="5">
        <f>IF(B947=" "," ",HYPERLINK(CONCATENATE("#metadata!",ADDRESS(INDEX($Q$2:$Q$1001,MATCH(ROWS($O$2:O947),$O$2:$O$1001,0),0),1)),INDEX($T$2:$T$1001,MATCH(ROWS($O$2:O947),$O$2:$O$1001,0),0)))</f>
        <v>0</v>
      </c>
      <c r="B947" s="4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4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4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4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4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4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4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4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4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4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OR(AND(IF(metadata!C947="",FALSE,TRUE),OR(exact(metadata!C947,"not applicable"),exact(metadata!C947,"missing: not collected"),exact(metadata!C947,"missing: not provided"),exact(metadata!C947,"missing: restricted access"))),AND(IF(metadata!C947="",FALSE,ISNUMBER(VALUE(metadata!C947))),metadata!C947&gt;0))</f>
        <v>0</v>
      </c>
      <c r="X947">
        <f>AND(IF(metadata!D947="",FALSE,TRUE),exact(metadata!D947,"weeks"))</f>
        <v>0</v>
      </c>
      <c r="Y947">
        <f>AND(IF(metadata!E947="",FALSE,TRUE),exact(metadata!E947,"urban biome"))</f>
        <v>0</v>
      </c>
      <c r="Z947">
        <f>AND(IF(metadata!F947="",FALSE,TRUE),exact(metadata!F947,"animal-associated habitat"))</f>
        <v>0</v>
      </c>
      <c r="AA947">
        <f>AND(IF(metadata!G947="",FALSE,TRUE),exact(metadata!G947,"mouse"))</f>
        <v>0</v>
      </c>
      <c r="AB947">
        <f>AND(IF(metadata!H947="",FALSE,TRUE),exact(metadata!H947,"Mus musculus"))</f>
        <v>0</v>
      </c>
      <c r="AC947">
        <f>AND(IF(metadata!I947="",FALSE,TRUE),exact(metadata!I947,"10090"))</f>
        <v>0</v>
      </c>
      <c r="AD947">
        <f>OR(AND(IF(metadata!J947="",FALSE,TRUE),OR(exact(metadata!J947,"not applicable"),exact(metadata!J947,"missing: not collected"),exact(metadata!J947,"missing: not provided"),exact(metadata!J947,"missing: restricted access"))),AND(IF(metadata!J947="",FALSE,ISNUMBER(VALUE(metadata!J947))),metadata!J947&gt;0))</f>
        <v>0</v>
      </c>
      <c r="AE947">
        <f>AND(IF(metadata!K947="",FALSE,TRUE),exact(metadata!K947,"g"))</f>
        <v>0</v>
      </c>
    </row>
    <row r="948" spans="1:31">
      <c r="A948" s="5">
        <f>IF(B948=" "," ",HYPERLINK(CONCATENATE("#metadata!",ADDRESS(INDEX($Q$2:$Q$1001,MATCH(ROWS($O$2:O948),$O$2:$O$1001,0),0),1)),INDEX($T$2:$T$1001,MATCH(ROWS($O$2:O948),$O$2:$O$1001,0),0)))</f>
        <v>0</v>
      </c>
      <c r="B948" s="4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4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4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4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4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4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4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4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4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4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OR(AND(IF(metadata!C948="",FALSE,TRUE),OR(exact(metadata!C948,"not applicable"),exact(metadata!C948,"missing: not collected"),exact(metadata!C948,"missing: not provided"),exact(metadata!C948,"missing: restricted access"))),AND(IF(metadata!C948="",FALSE,ISNUMBER(VALUE(metadata!C948))),metadata!C948&gt;0))</f>
        <v>0</v>
      </c>
      <c r="X948">
        <f>AND(IF(metadata!D948="",FALSE,TRUE),exact(metadata!D948,"weeks"))</f>
        <v>0</v>
      </c>
      <c r="Y948">
        <f>AND(IF(metadata!E948="",FALSE,TRUE),exact(metadata!E948,"urban biome"))</f>
        <v>0</v>
      </c>
      <c r="Z948">
        <f>AND(IF(metadata!F948="",FALSE,TRUE),exact(metadata!F948,"animal-associated habitat"))</f>
        <v>0</v>
      </c>
      <c r="AA948">
        <f>AND(IF(metadata!G948="",FALSE,TRUE),exact(metadata!G948,"mouse"))</f>
        <v>0</v>
      </c>
      <c r="AB948">
        <f>AND(IF(metadata!H948="",FALSE,TRUE),exact(metadata!H948,"Mus musculus"))</f>
        <v>0</v>
      </c>
      <c r="AC948">
        <f>AND(IF(metadata!I948="",FALSE,TRUE),exact(metadata!I948,"10090"))</f>
        <v>0</v>
      </c>
      <c r="AD948">
        <f>OR(AND(IF(metadata!J948="",FALSE,TRUE),OR(exact(metadata!J948,"not applicable"),exact(metadata!J948,"missing: not collected"),exact(metadata!J948,"missing: not provided"),exact(metadata!J948,"missing: restricted access"))),AND(IF(metadata!J948="",FALSE,ISNUMBER(VALUE(metadata!J948))),metadata!J948&gt;0))</f>
        <v>0</v>
      </c>
      <c r="AE948">
        <f>AND(IF(metadata!K948="",FALSE,TRUE),exact(metadata!K948,"g"))</f>
        <v>0</v>
      </c>
    </row>
    <row r="949" spans="1:31">
      <c r="A949" s="5">
        <f>IF(B949=" "," ",HYPERLINK(CONCATENATE("#metadata!",ADDRESS(INDEX($Q$2:$Q$1001,MATCH(ROWS($O$2:O949),$O$2:$O$1001,0),0),1)),INDEX($T$2:$T$1001,MATCH(ROWS($O$2:O949),$O$2:$O$1001,0),0)))</f>
        <v>0</v>
      </c>
      <c r="B949" s="4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4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4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4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4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4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4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4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4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4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OR(AND(IF(metadata!C949="",FALSE,TRUE),OR(exact(metadata!C949,"not applicable"),exact(metadata!C949,"missing: not collected"),exact(metadata!C949,"missing: not provided"),exact(metadata!C949,"missing: restricted access"))),AND(IF(metadata!C949="",FALSE,ISNUMBER(VALUE(metadata!C949))),metadata!C949&gt;0))</f>
        <v>0</v>
      </c>
      <c r="X949">
        <f>AND(IF(metadata!D949="",FALSE,TRUE),exact(metadata!D949,"weeks"))</f>
        <v>0</v>
      </c>
      <c r="Y949">
        <f>AND(IF(metadata!E949="",FALSE,TRUE),exact(metadata!E949,"urban biome"))</f>
        <v>0</v>
      </c>
      <c r="Z949">
        <f>AND(IF(metadata!F949="",FALSE,TRUE),exact(metadata!F949,"animal-associated habitat"))</f>
        <v>0</v>
      </c>
      <c r="AA949">
        <f>AND(IF(metadata!G949="",FALSE,TRUE),exact(metadata!G949,"mouse"))</f>
        <v>0</v>
      </c>
      <c r="AB949">
        <f>AND(IF(metadata!H949="",FALSE,TRUE),exact(metadata!H949,"Mus musculus"))</f>
        <v>0</v>
      </c>
      <c r="AC949">
        <f>AND(IF(metadata!I949="",FALSE,TRUE),exact(metadata!I949,"10090"))</f>
        <v>0</v>
      </c>
      <c r="AD949">
        <f>OR(AND(IF(metadata!J949="",FALSE,TRUE),OR(exact(metadata!J949,"not applicable"),exact(metadata!J949,"missing: not collected"),exact(metadata!J949,"missing: not provided"),exact(metadata!J949,"missing: restricted access"))),AND(IF(metadata!J949="",FALSE,ISNUMBER(VALUE(metadata!J949))),metadata!J949&gt;0))</f>
        <v>0</v>
      </c>
      <c r="AE949">
        <f>AND(IF(metadata!K949="",FALSE,TRUE),exact(metadata!K949,"g"))</f>
        <v>0</v>
      </c>
    </row>
    <row r="950" spans="1:31">
      <c r="A950" s="5">
        <f>IF(B950=" "," ",HYPERLINK(CONCATENATE("#metadata!",ADDRESS(INDEX($Q$2:$Q$1001,MATCH(ROWS($O$2:O950),$O$2:$O$1001,0),0),1)),INDEX($T$2:$T$1001,MATCH(ROWS($O$2:O950),$O$2:$O$1001,0),0)))</f>
        <v>0</v>
      </c>
      <c r="B950" s="4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4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4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4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4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4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4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4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4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4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OR(AND(IF(metadata!C950="",FALSE,TRUE),OR(exact(metadata!C950,"not applicable"),exact(metadata!C950,"missing: not collected"),exact(metadata!C950,"missing: not provided"),exact(metadata!C950,"missing: restricted access"))),AND(IF(metadata!C950="",FALSE,ISNUMBER(VALUE(metadata!C950))),metadata!C950&gt;0))</f>
        <v>0</v>
      </c>
      <c r="X950">
        <f>AND(IF(metadata!D950="",FALSE,TRUE),exact(metadata!D950,"weeks"))</f>
        <v>0</v>
      </c>
      <c r="Y950">
        <f>AND(IF(metadata!E950="",FALSE,TRUE),exact(metadata!E950,"urban biome"))</f>
        <v>0</v>
      </c>
      <c r="Z950">
        <f>AND(IF(metadata!F950="",FALSE,TRUE),exact(metadata!F950,"animal-associated habitat"))</f>
        <v>0</v>
      </c>
      <c r="AA950">
        <f>AND(IF(metadata!G950="",FALSE,TRUE),exact(metadata!G950,"mouse"))</f>
        <v>0</v>
      </c>
      <c r="AB950">
        <f>AND(IF(metadata!H950="",FALSE,TRUE),exact(metadata!H950,"Mus musculus"))</f>
        <v>0</v>
      </c>
      <c r="AC950">
        <f>AND(IF(metadata!I950="",FALSE,TRUE),exact(metadata!I950,"10090"))</f>
        <v>0</v>
      </c>
      <c r="AD950">
        <f>OR(AND(IF(metadata!J950="",FALSE,TRUE),OR(exact(metadata!J950,"not applicable"),exact(metadata!J950,"missing: not collected"),exact(metadata!J950,"missing: not provided"),exact(metadata!J950,"missing: restricted access"))),AND(IF(metadata!J950="",FALSE,ISNUMBER(VALUE(metadata!J950))),metadata!J950&gt;0))</f>
        <v>0</v>
      </c>
      <c r="AE950">
        <f>AND(IF(metadata!K950="",FALSE,TRUE),exact(metadata!K950,"g"))</f>
        <v>0</v>
      </c>
    </row>
    <row r="951" spans="1:31">
      <c r="A951" s="5">
        <f>IF(B951=" "," ",HYPERLINK(CONCATENATE("#metadata!",ADDRESS(INDEX($Q$2:$Q$1001,MATCH(ROWS($O$2:O951),$O$2:$O$1001,0),0),1)),INDEX($T$2:$T$1001,MATCH(ROWS($O$2:O951),$O$2:$O$1001,0),0)))</f>
        <v>0</v>
      </c>
      <c r="B951" s="4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4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4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4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4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4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4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4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4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4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OR(AND(IF(metadata!C951="",FALSE,TRUE),OR(exact(metadata!C951,"not applicable"),exact(metadata!C951,"missing: not collected"),exact(metadata!C951,"missing: not provided"),exact(metadata!C951,"missing: restricted access"))),AND(IF(metadata!C951="",FALSE,ISNUMBER(VALUE(metadata!C951))),metadata!C951&gt;0))</f>
        <v>0</v>
      </c>
      <c r="X951">
        <f>AND(IF(metadata!D951="",FALSE,TRUE),exact(metadata!D951,"weeks"))</f>
        <v>0</v>
      </c>
      <c r="Y951">
        <f>AND(IF(metadata!E951="",FALSE,TRUE),exact(metadata!E951,"urban biome"))</f>
        <v>0</v>
      </c>
      <c r="Z951">
        <f>AND(IF(metadata!F951="",FALSE,TRUE),exact(metadata!F951,"animal-associated habitat"))</f>
        <v>0</v>
      </c>
      <c r="AA951">
        <f>AND(IF(metadata!G951="",FALSE,TRUE),exact(metadata!G951,"mouse"))</f>
        <v>0</v>
      </c>
      <c r="AB951">
        <f>AND(IF(metadata!H951="",FALSE,TRUE),exact(metadata!H951,"Mus musculus"))</f>
        <v>0</v>
      </c>
      <c r="AC951">
        <f>AND(IF(metadata!I951="",FALSE,TRUE),exact(metadata!I951,"10090"))</f>
        <v>0</v>
      </c>
      <c r="AD951">
        <f>OR(AND(IF(metadata!J951="",FALSE,TRUE),OR(exact(metadata!J951,"not applicable"),exact(metadata!J951,"missing: not collected"),exact(metadata!J951,"missing: not provided"),exact(metadata!J951,"missing: restricted access"))),AND(IF(metadata!J951="",FALSE,ISNUMBER(VALUE(metadata!J951))),metadata!J951&gt;0))</f>
        <v>0</v>
      </c>
      <c r="AE951">
        <f>AND(IF(metadata!K951="",FALSE,TRUE),exact(metadata!K951,"g"))</f>
        <v>0</v>
      </c>
    </row>
    <row r="952" spans="1:31">
      <c r="A952" s="5">
        <f>IF(B952=" "," ",HYPERLINK(CONCATENATE("#metadata!",ADDRESS(INDEX($Q$2:$Q$1001,MATCH(ROWS($O$2:O952),$O$2:$O$1001,0),0),1)),INDEX($T$2:$T$1001,MATCH(ROWS($O$2:O952),$O$2:$O$1001,0),0)))</f>
        <v>0</v>
      </c>
      <c r="B952" s="4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4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4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4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4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4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4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4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4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4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OR(AND(IF(metadata!C952="",FALSE,TRUE),OR(exact(metadata!C952,"not applicable"),exact(metadata!C952,"missing: not collected"),exact(metadata!C952,"missing: not provided"),exact(metadata!C952,"missing: restricted access"))),AND(IF(metadata!C952="",FALSE,ISNUMBER(VALUE(metadata!C952))),metadata!C952&gt;0))</f>
        <v>0</v>
      </c>
      <c r="X952">
        <f>AND(IF(metadata!D952="",FALSE,TRUE),exact(metadata!D952,"weeks"))</f>
        <v>0</v>
      </c>
      <c r="Y952">
        <f>AND(IF(metadata!E952="",FALSE,TRUE),exact(metadata!E952,"urban biome"))</f>
        <v>0</v>
      </c>
      <c r="Z952">
        <f>AND(IF(metadata!F952="",FALSE,TRUE),exact(metadata!F952,"animal-associated habitat"))</f>
        <v>0</v>
      </c>
      <c r="AA952">
        <f>AND(IF(metadata!G952="",FALSE,TRUE),exact(metadata!G952,"mouse"))</f>
        <v>0</v>
      </c>
      <c r="AB952">
        <f>AND(IF(metadata!H952="",FALSE,TRUE),exact(metadata!H952,"Mus musculus"))</f>
        <v>0</v>
      </c>
      <c r="AC952">
        <f>AND(IF(metadata!I952="",FALSE,TRUE),exact(metadata!I952,"10090"))</f>
        <v>0</v>
      </c>
      <c r="AD952">
        <f>OR(AND(IF(metadata!J952="",FALSE,TRUE),OR(exact(metadata!J952,"not applicable"),exact(metadata!J952,"missing: not collected"),exact(metadata!J952,"missing: not provided"),exact(metadata!J952,"missing: restricted access"))),AND(IF(metadata!J952="",FALSE,ISNUMBER(VALUE(metadata!J952))),metadata!J952&gt;0))</f>
        <v>0</v>
      </c>
      <c r="AE952">
        <f>AND(IF(metadata!K952="",FALSE,TRUE),exact(metadata!K952,"g"))</f>
        <v>0</v>
      </c>
    </row>
    <row r="953" spans="1:31">
      <c r="A953" s="5">
        <f>IF(B953=" "," ",HYPERLINK(CONCATENATE("#metadata!",ADDRESS(INDEX($Q$2:$Q$1001,MATCH(ROWS($O$2:O953),$O$2:$O$1001,0),0),1)),INDEX($T$2:$T$1001,MATCH(ROWS($O$2:O953),$O$2:$O$1001,0),0)))</f>
        <v>0</v>
      </c>
      <c r="B953" s="4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4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4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4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4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4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4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4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4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4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OR(AND(IF(metadata!C953="",FALSE,TRUE),OR(exact(metadata!C953,"not applicable"),exact(metadata!C953,"missing: not collected"),exact(metadata!C953,"missing: not provided"),exact(metadata!C953,"missing: restricted access"))),AND(IF(metadata!C953="",FALSE,ISNUMBER(VALUE(metadata!C953))),metadata!C953&gt;0))</f>
        <v>0</v>
      </c>
      <c r="X953">
        <f>AND(IF(metadata!D953="",FALSE,TRUE),exact(metadata!D953,"weeks"))</f>
        <v>0</v>
      </c>
      <c r="Y953">
        <f>AND(IF(metadata!E953="",FALSE,TRUE),exact(metadata!E953,"urban biome"))</f>
        <v>0</v>
      </c>
      <c r="Z953">
        <f>AND(IF(metadata!F953="",FALSE,TRUE),exact(metadata!F953,"animal-associated habitat"))</f>
        <v>0</v>
      </c>
      <c r="AA953">
        <f>AND(IF(metadata!G953="",FALSE,TRUE),exact(metadata!G953,"mouse"))</f>
        <v>0</v>
      </c>
      <c r="AB953">
        <f>AND(IF(metadata!H953="",FALSE,TRUE),exact(metadata!H953,"Mus musculus"))</f>
        <v>0</v>
      </c>
      <c r="AC953">
        <f>AND(IF(metadata!I953="",FALSE,TRUE),exact(metadata!I953,"10090"))</f>
        <v>0</v>
      </c>
      <c r="AD953">
        <f>OR(AND(IF(metadata!J953="",FALSE,TRUE),OR(exact(metadata!J953,"not applicable"),exact(metadata!J953,"missing: not collected"),exact(metadata!J953,"missing: not provided"),exact(metadata!J953,"missing: restricted access"))),AND(IF(metadata!J953="",FALSE,ISNUMBER(VALUE(metadata!J953))),metadata!J953&gt;0))</f>
        <v>0</v>
      </c>
      <c r="AE953">
        <f>AND(IF(metadata!K953="",FALSE,TRUE),exact(metadata!K953,"g"))</f>
        <v>0</v>
      </c>
    </row>
    <row r="954" spans="1:31">
      <c r="A954" s="5">
        <f>IF(B954=" "," ",HYPERLINK(CONCATENATE("#metadata!",ADDRESS(INDEX($Q$2:$Q$1001,MATCH(ROWS($O$2:O954),$O$2:$O$1001,0),0),1)),INDEX($T$2:$T$1001,MATCH(ROWS($O$2:O954),$O$2:$O$1001,0),0)))</f>
        <v>0</v>
      </c>
      <c r="B954" s="4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4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4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4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4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4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4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4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4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4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OR(AND(IF(metadata!C954="",FALSE,TRUE),OR(exact(metadata!C954,"not applicable"),exact(metadata!C954,"missing: not collected"),exact(metadata!C954,"missing: not provided"),exact(metadata!C954,"missing: restricted access"))),AND(IF(metadata!C954="",FALSE,ISNUMBER(VALUE(metadata!C954))),metadata!C954&gt;0))</f>
        <v>0</v>
      </c>
      <c r="X954">
        <f>AND(IF(metadata!D954="",FALSE,TRUE),exact(metadata!D954,"weeks"))</f>
        <v>0</v>
      </c>
      <c r="Y954">
        <f>AND(IF(metadata!E954="",FALSE,TRUE),exact(metadata!E954,"urban biome"))</f>
        <v>0</v>
      </c>
      <c r="Z954">
        <f>AND(IF(metadata!F954="",FALSE,TRUE),exact(metadata!F954,"animal-associated habitat"))</f>
        <v>0</v>
      </c>
      <c r="AA954">
        <f>AND(IF(metadata!G954="",FALSE,TRUE),exact(metadata!G954,"mouse"))</f>
        <v>0</v>
      </c>
      <c r="AB954">
        <f>AND(IF(metadata!H954="",FALSE,TRUE),exact(metadata!H954,"Mus musculus"))</f>
        <v>0</v>
      </c>
      <c r="AC954">
        <f>AND(IF(metadata!I954="",FALSE,TRUE),exact(metadata!I954,"10090"))</f>
        <v>0</v>
      </c>
      <c r="AD954">
        <f>OR(AND(IF(metadata!J954="",FALSE,TRUE),OR(exact(metadata!J954,"not applicable"),exact(metadata!J954,"missing: not collected"),exact(metadata!J954,"missing: not provided"),exact(metadata!J954,"missing: restricted access"))),AND(IF(metadata!J954="",FALSE,ISNUMBER(VALUE(metadata!J954))),metadata!J954&gt;0))</f>
        <v>0</v>
      </c>
      <c r="AE954">
        <f>AND(IF(metadata!K954="",FALSE,TRUE),exact(metadata!K954,"g"))</f>
        <v>0</v>
      </c>
    </row>
    <row r="955" spans="1:31">
      <c r="A955" s="5">
        <f>IF(B955=" "," ",HYPERLINK(CONCATENATE("#metadata!",ADDRESS(INDEX($Q$2:$Q$1001,MATCH(ROWS($O$2:O955),$O$2:$O$1001,0),0),1)),INDEX($T$2:$T$1001,MATCH(ROWS($O$2:O955),$O$2:$O$1001,0),0)))</f>
        <v>0</v>
      </c>
      <c r="B955" s="4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4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4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4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4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4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4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4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4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4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OR(AND(IF(metadata!C955="",FALSE,TRUE),OR(exact(metadata!C955,"not applicable"),exact(metadata!C955,"missing: not collected"),exact(metadata!C955,"missing: not provided"),exact(metadata!C955,"missing: restricted access"))),AND(IF(metadata!C955="",FALSE,ISNUMBER(VALUE(metadata!C955))),metadata!C955&gt;0))</f>
        <v>0</v>
      </c>
      <c r="X955">
        <f>AND(IF(metadata!D955="",FALSE,TRUE),exact(metadata!D955,"weeks"))</f>
        <v>0</v>
      </c>
      <c r="Y955">
        <f>AND(IF(metadata!E955="",FALSE,TRUE),exact(metadata!E955,"urban biome"))</f>
        <v>0</v>
      </c>
      <c r="Z955">
        <f>AND(IF(metadata!F955="",FALSE,TRUE),exact(metadata!F955,"animal-associated habitat"))</f>
        <v>0</v>
      </c>
      <c r="AA955">
        <f>AND(IF(metadata!G955="",FALSE,TRUE),exact(metadata!G955,"mouse"))</f>
        <v>0</v>
      </c>
      <c r="AB955">
        <f>AND(IF(metadata!H955="",FALSE,TRUE),exact(metadata!H955,"Mus musculus"))</f>
        <v>0</v>
      </c>
      <c r="AC955">
        <f>AND(IF(metadata!I955="",FALSE,TRUE),exact(metadata!I955,"10090"))</f>
        <v>0</v>
      </c>
      <c r="AD955">
        <f>OR(AND(IF(metadata!J955="",FALSE,TRUE),OR(exact(metadata!J955,"not applicable"),exact(metadata!J955,"missing: not collected"),exact(metadata!J955,"missing: not provided"),exact(metadata!J955,"missing: restricted access"))),AND(IF(metadata!J955="",FALSE,ISNUMBER(VALUE(metadata!J955))),metadata!J955&gt;0))</f>
        <v>0</v>
      </c>
      <c r="AE955">
        <f>AND(IF(metadata!K955="",FALSE,TRUE),exact(metadata!K955,"g"))</f>
        <v>0</v>
      </c>
    </row>
    <row r="956" spans="1:31">
      <c r="A956" s="5">
        <f>IF(B956=" "," ",HYPERLINK(CONCATENATE("#metadata!",ADDRESS(INDEX($Q$2:$Q$1001,MATCH(ROWS($O$2:O956),$O$2:$O$1001,0),0),1)),INDEX($T$2:$T$1001,MATCH(ROWS($O$2:O956),$O$2:$O$1001,0),0)))</f>
        <v>0</v>
      </c>
      <c r="B956" s="4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4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4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4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4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4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4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4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4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4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OR(AND(IF(metadata!C956="",FALSE,TRUE),OR(exact(metadata!C956,"not applicable"),exact(metadata!C956,"missing: not collected"),exact(metadata!C956,"missing: not provided"),exact(metadata!C956,"missing: restricted access"))),AND(IF(metadata!C956="",FALSE,ISNUMBER(VALUE(metadata!C956))),metadata!C956&gt;0))</f>
        <v>0</v>
      </c>
      <c r="X956">
        <f>AND(IF(metadata!D956="",FALSE,TRUE),exact(metadata!D956,"weeks"))</f>
        <v>0</v>
      </c>
      <c r="Y956">
        <f>AND(IF(metadata!E956="",FALSE,TRUE),exact(metadata!E956,"urban biome"))</f>
        <v>0</v>
      </c>
      <c r="Z956">
        <f>AND(IF(metadata!F956="",FALSE,TRUE),exact(metadata!F956,"animal-associated habitat"))</f>
        <v>0</v>
      </c>
      <c r="AA956">
        <f>AND(IF(metadata!G956="",FALSE,TRUE),exact(metadata!G956,"mouse"))</f>
        <v>0</v>
      </c>
      <c r="AB956">
        <f>AND(IF(metadata!H956="",FALSE,TRUE),exact(metadata!H956,"Mus musculus"))</f>
        <v>0</v>
      </c>
      <c r="AC956">
        <f>AND(IF(metadata!I956="",FALSE,TRUE),exact(metadata!I956,"10090"))</f>
        <v>0</v>
      </c>
      <c r="AD956">
        <f>OR(AND(IF(metadata!J956="",FALSE,TRUE),OR(exact(metadata!J956,"not applicable"),exact(metadata!J956,"missing: not collected"),exact(metadata!J956,"missing: not provided"),exact(metadata!J956,"missing: restricted access"))),AND(IF(metadata!J956="",FALSE,ISNUMBER(VALUE(metadata!J956))),metadata!J956&gt;0))</f>
        <v>0</v>
      </c>
      <c r="AE956">
        <f>AND(IF(metadata!K956="",FALSE,TRUE),exact(metadata!K956,"g"))</f>
        <v>0</v>
      </c>
    </row>
    <row r="957" spans="1:31">
      <c r="A957" s="5">
        <f>IF(B957=" "," ",HYPERLINK(CONCATENATE("#metadata!",ADDRESS(INDEX($Q$2:$Q$1001,MATCH(ROWS($O$2:O957),$O$2:$O$1001,0),0),1)),INDEX($T$2:$T$1001,MATCH(ROWS($O$2:O957),$O$2:$O$1001,0),0)))</f>
        <v>0</v>
      </c>
      <c r="B957" s="4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4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4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4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4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4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4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4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4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4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OR(AND(IF(metadata!C957="",FALSE,TRUE),OR(exact(metadata!C957,"not applicable"),exact(metadata!C957,"missing: not collected"),exact(metadata!C957,"missing: not provided"),exact(metadata!C957,"missing: restricted access"))),AND(IF(metadata!C957="",FALSE,ISNUMBER(VALUE(metadata!C957))),metadata!C957&gt;0))</f>
        <v>0</v>
      </c>
      <c r="X957">
        <f>AND(IF(metadata!D957="",FALSE,TRUE),exact(metadata!D957,"weeks"))</f>
        <v>0</v>
      </c>
      <c r="Y957">
        <f>AND(IF(metadata!E957="",FALSE,TRUE),exact(metadata!E957,"urban biome"))</f>
        <v>0</v>
      </c>
      <c r="Z957">
        <f>AND(IF(metadata!F957="",FALSE,TRUE),exact(metadata!F957,"animal-associated habitat"))</f>
        <v>0</v>
      </c>
      <c r="AA957">
        <f>AND(IF(metadata!G957="",FALSE,TRUE),exact(metadata!G957,"mouse"))</f>
        <v>0</v>
      </c>
      <c r="AB957">
        <f>AND(IF(metadata!H957="",FALSE,TRUE),exact(metadata!H957,"Mus musculus"))</f>
        <v>0</v>
      </c>
      <c r="AC957">
        <f>AND(IF(metadata!I957="",FALSE,TRUE),exact(metadata!I957,"10090"))</f>
        <v>0</v>
      </c>
      <c r="AD957">
        <f>OR(AND(IF(metadata!J957="",FALSE,TRUE),OR(exact(metadata!J957,"not applicable"),exact(metadata!J957,"missing: not collected"),exact(metadata!J957,"missing: not provided"),exact(metadata!J957,"missing: restricted access"))),AND(IF(metadata!J957="",FALSE,ISNUMBER(VALUE(metadata!J957))),metadata!J957&gt;0))</f>
        <v>0</v>
      </c>
      <c r="AE957">
        <f>AND(IF(metadata!K957="",FALSE,TRUE),exact(metadata!K957,"g"))</f>
        <v>0</v>
      </c>
    </row>
    <row r="958" spans="1:31">
      <c r="A958" s="5">
        <f>IF(B958=" "," ",HYPERLINK(CONCATENATE("#metadata!",ADDRESS(INDEX($Q$2:$Q$1001,MATCH(ROWS($O$2:O958),$O$2:$O$1001,0),0),1)),INDEX($T$2:$T$1001,MATCH(ROWS($O$2:O958),$O$2:$O$1001,0),0)))</f>
        <v>0</v>
      </c>
      <c r="B958" s="4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4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4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4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4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4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4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4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4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4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OR(AND(IF(metadata!C958="",FALSE,TRUE),OR(exact(metadata!C958,"not applicable"),exact(metadata!C958,"missing: not collected"),exact(metadata!C958,"missing: not provided"),exact(metadata!C958,"missing: restricted access"))),AND(IF(metadata!C958="",FALSE,ISNUMBER(VALUE(metadata!C958))),metadata!C958&gt;0))</f>
        <v>0</v>
      </c>
      <c r="X958">
        <f>AND(IF(metadata!D958="",FALSE,TRUE),exact(metadata!D958,"weeks"))</f>
        <v>0</v>
      </c>
      <c r="Y958">
        <f>AND(IF(metadata!E958="",FALSE,TRUE),exact(metadata!E958,"urban biome"))</f>
        <v>0</v>
      </c>
      <c r="Z958">
        <f>AND(IF(metadata!F958="",FALSE,TRUE),exact(metadata!F958,"animal-associated habitat"))</f>
        <v>0</v>
      </c>
      <c r="AA958">
        <f>AND(IF(metadata!G958="",FALSE,TRUE),exact(metadata!G958,"mouse"))</f>
        <v>0</v>
      </c>
      <c r="AB958">
        <f>AND(IF(metadata!H958="",FALSE,TRUE),exact(metadata!H958,"Mus musculus"))</f>
        <v>0</v>
      </c>
      <c r="AC958">
        <f>AND(IF(metadata!I958="",FALSE,TRUE),exact(metadata!I958,"10090"))</f>
        <v>0</v>
      </c>
      <c r="AD958">
        <f>OR(AND(IF(metadata!J958="",FALSE,TRUE),OR(exact(metadata!J958,"not applicable"),exact(metadata!J958,"missing: not collected"),exact(metadata!J958,"missing: not provided"),exact(metadata!J958,"missing: restricted access"))),AND(IF(metadata!J958="",FALSE,ISNUMBER(VALUE(metadata!J958))),metadata!J958&gt;0))</f>
        <v>0</v>
      </c>
      <c r="AE958">
        <f>AND(IF(metadata!K958="",FALSE,TRUE),exact(metadata!K958,"g"))</f>
        <v>0</v>
      </c>
    </row>
    <row r="959" spans="1:31">
      <c r="A959" s="5">
        <f>IF(B959=" "," ",HYPERLINK(CONCATENATE("#metadata!",ADDRESS(INDEX($Q$2:$Q$1001,MATCH(ROWS($O$2:O959),$O$2:$O$1001,0),0),1)),INDEX($T$2:$T$1001,MATCH(ROWS($O$2:O959),$O$2:$O$1001,0),0)))</f>
        <v>0</v>
      </c>
      <c r="B959" s="4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4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4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4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4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4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4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4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4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4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OR(AND(IF(metadata!C959="",FALSE,TRUE),OR(exact(metadata!C959,"not applicable"),exact(metadata!C959,"missing: not collected"),exact(metadata!C959,"missing: not provided"),exact(metadata!C959,"missing: restricted access"))),AND(IF(metadata!C959="",FALSE,ISNUMBER(VALUE(metadata!C959))),metadata!C959&gt;0))</f>
        <v>0</v>
      </c>
      <c r="X959">
        <f>AND(IF(metadata!D959="",FALSE,TRUE),exact(metadata!D959,"weeks"))</f>
        <v>0</v>
      </c>
      <c r="Y959">
        <f>AND(IF(metadata!E959="",FALSE,TRUE),exact(metadata!E959,"urban biome"))</f>
        <v>0</v>
      </c>
      <c r="Z959">
        <f>AND(IF(metadata!F959="",FALSE,TRUE),exact(metadata!F959,"animal-associated habitat"))</f>
        <v>0</v>
      </c>
      <c r="AA959">
        <f>AND(IF(metadata!G959="",FALSE,TRUE),exact(metadata!G959,"mouse"))</f>
        <v>0</v>
      </c>
      <c r="AB959">
        <f>AND(IF(metadata!H959="",FALSE,TRUE),exact(metadata!H959,"Mus musculus"))</f>
        <v>0</v>
      </c>
      <c r="AC959">
        <f>AND(IF(metadata!I959="",FALSE,TRUE),exact(metadata!I959,"10090"))</f>
        <v>0</v>
      </c>
      <c r="AD959">
        <f>OR(AND(IF(metadata!J959="",FALSE,TRUE),OR(exact(metadata!J959,"not applicable"),exact(metadata!J959,"missing: not collected"),exact(metadata!J959,"missing: not provided"),exact(metadata!J959,"missing: restricted access"))),AND(IF(metadata!J959="",FALSE,ISNUMBER(VALUE(metadata!J959))),metadata!J959&gt;0))</f>
        <v>0</v>
      </c>
      <c r="AE959">
        <f>AND(IF(metadata!K959="",FALSE,TRUE),exact(metadata!K959,"g"))</f>
        <v>0</v>
      </c>
    </row>
    <row r="960" spans="1:31">
      <c r="A960" s="5">
        <f>IF(B960=" "," ",HYPERLINK(CONCATENATE("#metadata!",ADDRESS(INDEX($Q$2:$Q$1001,MATCH(ROWS($O$2:O960),$O$2:$O$1001,0),0),1)),INDEX($T$2:$T$1001,MATCH(ROWS($O$2:O960),$O$2:$O$1001,0),0)))</f>
        <v>0</v>
      </c>
      <c r="B960" s="4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4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4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4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4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4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4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4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4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4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OR(AND(IF(metadata!C960="",FALSE,TRUE),OR(exact(metadata!C960,"not applicable"),exact(metadata!C960,"missing: not collected"),exact(metadata!C960,"missing: not provided"),exact(metadata!C960,"missing: restricted access"))),AND(IF(metadata!C960="",FALSE,ISNUMBER(VALUE(metadata!C960))),metadata!C960&gt;0))</f>
        <v>0</v>
      </c>
      <c r="X960">
        <f>AND(IF(metadata!D960="",FALSE,TRUE),exact(metadata!D960,"weeks"))</f>
        <v>0</v>
      </c>
      <c r="Y960">
        <f>AND(IF(metadata!E960="",FALSE,TRUE),exact(metadata!E960,"urban biome"))</f>
        <v>0</v>
      </c>
      <c r="Z960">
        <f>AND(IF(metadata!F960="",FALSE,TRUE),exact(metadata!F960,"animal-associated habitat"))</f>
        <v>0</v>
      </c>
      <c r="AA960">
        <f>AND(IF(metadata!G960="",FALSE,TRUE),exact(metadata!G960,"mouse"))</f>
        <v>0</v>
      </c>
      <c r="AB960">
        <f>AND(IF(metadata!H960="",FALSE,TRUE),exact(metadata!H960,"Mus musculus"))</f>
        <v>0</v>
      </c>
      <c r="AC960">
        <f>AND(IF(metadata!I960="",FALSE,TRUE),exact(metadata!I960,"10090"))</f>
        <v>0</v>
      </c>
      <c r="AD960">
        <f>OR(AND(IF(metadata!J960="",FALSE,TRUE),OR(exact(metadata!J960,"not applicable"),exact(metadata!J960,"missing: not collected"),exact(metadata!J960,"missing: not provided"),exact(metadata!J960,"missing: restricted access"))),AND(IF(metadata!J960="",FALSE,ISNUMBER(VALUE(metadata!J960))),metadata!J960&gt;0))</f>
        <v>0</v>
      </c>
      <c r="AE960">
        <f>AND(IF(metadata!K960="",FALSE,TRUE),exact(metadata!K960,"g"))</f>
        <v>0</v>
      </c>
    </row>
    <row r="961" spans="1:31">
      <c r="A961" s="5">
        <f>IF(B961=" "," ",HYPERLINK(CONCATENATE("#metadata!",ADDRESS(INDEX($Q$2:$Q$1001,MATCH(ROWS($O$2:O961),$O$2:$O$1001,0),0),1)),INDEX($T$2:$T$1001,MATCH(ROWS($O$2:O961),$O$2:$O$1001,0),0)))</f>
        <v>0</v>
      </c>
      <c r="B961" s="4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4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4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4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4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4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4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4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4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4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OR(AND(IF(metadata!C961="",FALSE,TRUE),OR(exact(metadata!C961,"not applicable"),exact(metadata!C961,"missing: not collected"),exact(metadata!C961,"missing: not provided"),exact(metadata!C961,"missing: restricted access"))),AND(IF(metadata!C961="",FALSE,ISNUMBER(VALUE(metadata!C961))),metadata!C961&gt;0))</f>
        <v>0</v>
      </c>
      <c r="X961">
        <f>AND(IF(metadata!D961="",FALSE,TRUE),exact(metadata!D961,"weeks"))</f>
        <v>0</v>
      </c>
      <c r="Y961">
        <f>AND(IF(metadata!E961="",FALSE,TRUE),exact(metadata!E961,"urban biome"))</f>
        <v>0</v>
      </c>
      <c r="Z961">
        <f>AND(IF(metadata!F961="",FALSE,TRUE),exact(metadata!F961,"animal-associated habitat"))</f>
        <v>0</v>
      </c>
      <c r="AA961">
        <f>AND(IF(metadata!G961="",FALSE,TRUE),exact(metadata!G961,"mouse"))</f>
        <v>0</v>
      </c>
      <c r="AB961">
        <f>AND(IF(metadata!H961="",FALSE,TRUE),exact(metadata!H961,"Mus musculus"))</f>
        <v>0</v>
      </c>
      <c r="AC961">
        <f>AND(IF(metadata!I961="",FALSE,TRUE),exact(metadata!I961,"10090"))</f>
        <v>0</v>
      </c>
      <c r="AD961">
        <f>OR(AND(IF(metadata!J961="",FALSE,TRUE),OR(exact(metadata!J961,"not applicable"),exact(metadata!J961,"missing: not collected"),exact(metadata!J961,"missing: not provided"),exact(metadata!J961,"missing: restricted access"))),AND(IF(metadata!J961="",FALSE,ISNUMBER(VALUE(metadata!J961))),metadata!J961&gt;0))</f>
        <v>0</v>
      </c>
      <c r="AE961">
        <f>AND(IF(metadata!K961="",FALSE,TRUE),exact(metadata!K961,"g"))</f>
        <v>0</v>
      </c>
    </row>
    <row r="962" spans="1:31">
      <c r="A962" s="5">
        <f>IF(B962=" "," ",HYPERLINK(CONCATENATE("#metadata!",ADDRESS(INDEX($Q$2:$Q$1001,MATCH(ROWS($O$2:O962),$O$2:$O$1001,0),0),1)),INDEX($T$2:$T$1001,MATCH(ROWS($O$2:O962),$O$2:$O$1001,0),0)))</f>
        <v>0</v>
      </c>
      <c r="B962" s="4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4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4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4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4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4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4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4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4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4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OR(AND(IF(metadata!C962="",FALSE,TRUE),OR(exact(metadata!C962,"not applicable"),exact(metadata!C962,"missing: not collected"),exact(metadata!C962,"missing: not provided"),exact(metadata!C962,"missing: restricted access"))),AND(IF(metadata!C962="",FALSE,ISNUMBER(VALUE(metadata!C962))),metadata!C962&gt;0))</f>
        <v>0</v>
      </c>
      <c r="X962">
        <f>AND(IF(metadata!D962="",FALSE,TRUE),exact(metadata!D962,"weeks"))</f>
        <v>0</v>
      </c>
      <c r="Y962">
        <f>AND(IF(metadata!E962="",FALSE,TRUE),exact(metadata!E962,"urban biome"))</f>
        <v>0</v>
      </c>
      <c r="Z962">
        <f>AND(IF(metadata!F962="",FALSE,TRUE),exact(metadata!F962,"animal-associated habitat"))</f>
        <v>0</v>
      </c>
      <c r="AA962">
        <f>AND(IF(metadata!G962="",FALSE,TRUE),exact(metadata!G962,"mouse"))</f>
        <v>0</v>
      </c>
      <c r="AB962">
        <f>AND(IF(metadata!H962="",FALSE,TRUE),exact(metadata!H962,"Mus musculus"))</f>
        <v>0</v>
      </c>
      <c r="AC962">
        <f>AND(IF(metadata!I962="",FALSE,TRUE),exact(metadata!I962,"10090"))</f>
        <v>0</v>
      </c>
      <c r="AD962">
        <f>OR(AND(IF(metadata!J962="",FALSE,TRUE),OR(exact(metadata!J962,"not applicable"),exact(metadata!J962,"missing: not collected"),exact(metadata!J962,"missing: not provided"),exact(metadata!J962,"missing: restricted access"))),AND(IF(metadata!J962="",FALSE,ISNUMBER(VALUE(metadata!J962))),metadata!J962&gt;0))</f>
        <v>0</v>
      </c>
      <c r="AE962">
        <f>AND(IF(metadata!K962="",FALSE,TRUE),exact(metadata!K962,"g"))</f>
        <v>0</v>
      </c>
    </row>
    <row r="963" spans="1:31">
      <c r="A963" s="5">
        <f>IF(B963=" "," ",HYPERLINK(CONCATENATE("#metadata!",ADDRESS(INDEX($Q$2:$Q$1001,MATCH(ROWS($O$2:O963),$O$2:$O$1001,0),0),1)),INDEX($T$2:$T$1001,MATCH(ROWS($O$2:O963),$O$2:$O$1001,0),0)))</f>
        <v>0</v>
      </c>
      <c r="B963" s="4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4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4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4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4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4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4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4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4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4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OR(AND(IF(metadata!C963="",FALSE,TRUE),OR(exact(metadata!C963,"not applicable"),exact(metadata!C963,"missing: not collected"),exact(metadata!C963,"missing: not provided"),exact(metadata!C963,"missing: restricted access"))),AND(IF(metadata!C963="",FALSE,ISNUMBER(VALUE(metadata!C963))),metadata!C963&gt;0))</f>
        <v>0</v>
      </c>
      <c r="X963">
        <f>AND(IF(metadata!D963="",FALSE,TRUE),exact(metadata!D963,"weeks"))</f>
        <v>0</v>
      </c>
      <c r="Y963">
        <f>AND(IF(metadata!E963="",FALSE,TRUE),exact(metadata!E963,"urban biome"))</f>
        <v>0</v>
      </c>
      <c r="Z963">
        <f>AND(IF(metadata!F963="",FALSE,TRUE),exact(metadata!F963,"animal-associated habitat"))</f>
        <v>0</v>
      </c>
      <c r="AA963">
        <f>AND(IF(metadata!G963="",FALSE,TRUE),exact(metadata!G963,"mouse"))</f>
        <v>0</v>
      </c>
      <c r="AB963">
        <f>AND(IF(metadata!H963="",FALSE,TRUE),exact(metadata!H963,"Mus musculus"))</f>
        <v>0</v>
      </c>
      <c r="AC963">
        <f>AND(IF(metadata!I963="",FALSE,TRUE),exact(metadata!I963,"10090"))</f>
        <v>0</v>
      </c>
      <c r="AD963">
        <f>OR(AND(IF(metadata!J963="",FALSE,TRUE),OR(exact(metadata!J963,"not applicable"),exact(metadata!J963,"missing: not collected"),exact(metadata!J963,"missing: not provided"),exact(metadata!J963,"missing: restricted access"))),AND(IF(metadata!J963="",FALSE,ISNUMBER(VALUE(metadata!J963))),metadata!J963&gt;0))</f>
        <v>0</v>
      </c>
      <c r="AE963">
        <f>AND(IF(metadata!K963="",FALSE,TRUE),exact(metadata!K963,"g"))</f>
        <v>0</v>
      </c>
    </row>
    <row r="964" spans="1:31">
      <c r="A964" s="5">
        <f>IF(B964=" "," ",HYPERLINK(CONCATENATE("#metadata!",ADDRESS(INDEX($Q$2:$Q$1001,MATCH(ROWS($O$2:O964),$O$2:$O$1001,0),0),1)),INDEX($T$2:$T$1001,MATCH(ROWS($O$2:O964),$O$2:$O$1001,0),0)))</f>
        <v>0</v>
      </c>
      <c r="B964" s="4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4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4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4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4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4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4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4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4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4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OR(AND(IF(metadata!C964="",FALSE,TRUE),OR(exact(metadata!C964,"not applicable"),exact(metadata!C964,"missing: not collected"),exact(metadata!C964,"missing: not provided"),exact(metadata!C964,"missing: restricted access"))),AND(IF(metadata!C964="",FALSE,ISNUMBER(VALUE(metadata!C964))),metadata!C964&gt;0))</f>
        <v>0</v>
      </c>
      <c r="X964">
        <f>AND(IF(metadata!D964="",FALSE,TRUE),exact(metadata!D964,"weeks"))</f>
        <v>0</v>
      </c>
      <c r="Y964">
        <f>AND(IF(metadata!E964="",FALSE,TRUE),exact(metadata!E964,"urban biome"))</f>
        <v>0</v>
      </c>
      <c r="Z964">
        <f>AND(IF(metadata!F964="",FALSE,TRUE),exact(metadata!F964,"animal-associated habitat"))</f>
        <v>0</v>
      </c>
      <c r="AA964">
        <f>AND(IF(metadata!G964="",FALSE,TRUE),exact(metadata!G964,"mouse"))</f>
        <v>0</v>
      </c>
      <c r="AB964">
        <f>AND(IF(metadata!H964="",FALSE,TRUE),exact(metadata!H964,"Mus musculus"))</f>
        <v>0</v>
      </c>
      <c r="AC964">
        <f>AND(IF(metadata!I964="",FALSE,TRUE),exact(metadata!I964,"10090"))</f>
        <v>0</v>
      </c>
      <c r="AD964">
        <f>OR(AND(IF(metadata!J964="",FALSE,TRUE),OR(exact(metadata!J964,"not applicable"),exact(metadata!J964,"missing: not collected"),exact(metadata!J964,"missing: not provided"),exact(metadata!J964,"missing: restricted access"))),AND(IF(metadata!J964="",FALSE,ISNUMBER(VALUE(metadata!J964))),metadata!J964&gt;0))</f>
        <v>0</v>
      </c>
      <c r="AE964">
        <f>AND(IF(metadata!K964="",FALSE,TRUE),exact(metadata!K964,"g"))</f>
        <v>0</v>
      </c>
    </row>
    <row r="965" spans="1:31">
      <c r="A965" s="5">
        <f>IF(B965=" "," ",HYPERLINK(CONCATENATE("#metadata!",ADDRESS(INDEX($Q$2:$Q$1001,MATCH(ROWS($O$2:O965),$O$2:$O$1001,0),0),1)),INDEX($T$2:$T$1001,MATCH(ROWS($O$2:O965),$O$2:$O$1001,0),0)))</f>
        <v>0</v>
      </c>
      <c r="B965" s="4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4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4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4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4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4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4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4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4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4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OR(AND(IF(metadata!C965="",FALSE,TRUE),OR(exact(metadata!C965,"not applicable"),exact(metadata!C965,"missing: not collected"),exact(metadata!C965,"missing: not provided"),exact(metadata!C965,"missing: restricted access"))),AND(IF(metadata!C965="",FALSE,ISNUMBER(VALUE(metadata!C965))),metadata!C965&gt;0))</f>
        <v>0</v>
      </c>
      <c r="X965">
        <f>AND(IF(metadata!D965="",FALSE,TRUE),exact(metadata!D965,"weeks"))</f>
        <v>0</v>
      </c>
      <c r="Y965">
        <f>AND(IF(metadata!E965="",FALSE,TRUE),exact(metadata!E965,"urban biome"))</f>
        <v>0</v>
      </c>
      <c r="Z965">
        <f>AND(IF(metadata!F965="",FALSE,TRUE),exact(metadata!F965,"animal-associated habitat"))</f>
        <v>0</v>
      </c>
      <c r="AA965">
        <f>AND(IF(metadata!G965="",FALSE,TRUE),exact(metadata!G965,"mouse"))</f>
        <v>0</v>
      </c>
      <c r="AB965">
        <f>AND(IF(metadata!H965="",FALSE,TRUE),exact(metadata!H965,"Mus musculus"))</f>
        <v>0</v>
      </c>
      <c r="AC965">
        <f>AND(IF(metadata!I965="",FALSE,TRUE),exact(metadata!I965,"10090"))</f>
        <v>0</v>
      </c>
      <c r="AD965">
        <f>OR(AND(IF(metadata!J965="",FALSE,TRUE),OR(exact(metadata!J965,"not applicable"),exact(metadata!J965,"missing: not collected"),exact(metadata!J965,"missing: not provided"),exact(metadata!J965,"missing: restricted access"))),AND(IF(metadata!J965="",FALSE,ISNUMBER(VALUE(metadata!J965))),metadata!J965&gt;0))</f>
        <v>0</v>
      </c>
      <c r="AE965">
        <f>AND(IF(metadata!K965="",FALSE,TRUE),exact(metadata!K965,"g"))</f>
        <v>0</v>
      </c>
    </row>
    <row r="966" spans="1:31">
      <c r="A966" s="5">
        <f>IF(B966=" "," ",HYPERLINK(CONCATENATE("#metadata!",ADDRESS(INDEX($Q$2:$Q$1001,MATCH(ROWS($O$2:O966),$O$2:$O$1001,0),0),1)),INDEX($T$2:$T$1001,MATCH(ROWS($O$2:O966),$O$2:$O$1001,0),0)))</f>
        <v>0</v>
      </c>
      <c r="B966" s="4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4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4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4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4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4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4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4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4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4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OR(AND(IF(metadata!C966="",FALSE,TRUE),OR(exact(metadata!C966,"not applicable"),exact(metadata!C966,"missing: not collected"),exact(metadata!C966,"missing: not provided"),exact(metadata!C966,"missing: restricted access"))),AND(IF(metadata!C966="",FALSE,ISNUMBER(VALUE(metadata!C966))),metadata!C966&gt;0))</f>
        <v>0</v>
      </c>
      <c r="X966">
        <f>AND(IF(metadata!D966="",FALSE,TRUE),exact(metadata!D966,"weeks"))</f>
        <v>0</v>
      </c>
      <c r="Y966">
        <f>AND(IF(metadata!E966="",FALSE,TRUE),exact(metadata!E966,"urban biome"))</f>
        <v>0</v>
      </c>
      <c r="Z966">
        <f>AND(IF(metadata!F966="",FALSE,TRUE),exact(metadata!F966,"animal-associated habitat"))</f>
        <v>0</v>
      </c>
      <c r="AA966">
        <f>AND(IF(metadata!G966="",FALSE,TRUE),exact(metadata!G966,"mouse"))</f>
        <v>0</v>
      </c>
      <c r="AB966">
        <f>AND(IF(metadata!H966="",FALSE,TRUE),exact(metadata!H966,"Mus musculus"))</f>
        <v>0</v>
      </c>
      <c r="AC966">
        <f>AND(IF(metadata!I966="",FALSE,TRUE),exact(metadata!I966,"10090"))</f>
        <v>0</v>
      </c>
      <c r="AD966">
        <f>OR(AND(IF(metadata!J966="",FALSE,TRUE),OR(exact(metadata!J966,"not applicable"),exact(metadata!J966,"missing: not collected"),exact(metadata!J966,"missing: not provided"),exact(metadata!J966,"missing: restricted access"))),AND(IF(metadata!J966="",FALSE,ISNUMBER(VALUE(metadata!J966))),metadata!J966&gt;0))</f>
        <v>0</v>
      </c>
      <c r="AE966">
        <f>AND(IF(metadata!K966="",FALSE,TRUE),exact(metadata!K966,"g"))</f>
        <v>0</v>
      </c>
    </row>
    <row r="967" spans="1:31">
      <c r="A967" s="5">
        <f>IF(B967=" "," ",HYPERLINK(CONCATENATE("#metadata!",ADDRESS(INDEX($Q$2:$Q$1001,MATCH(ROWS($O$2:O967),$O$2:$O$1001,0),0),1)),INDEX($T$2:$T$1001,MATCH(ROWS($O$2:O967),$O$2:$O$1001,0),0)))</f>
        <v>0</v>
      </c>
      <c r="B967" s="4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4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4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4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4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4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4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4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4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4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OR(AND(IF(metadata!C967="",FALSE,TRUE),OR(exact(metadata!C967,"not applicable"),exact(metadata!C967,"missing: not collected"),exact(metadata!C967,"missing: not provided"),exact(metadata!C967,"missing: restricted access"))),AND(IF(metadata!C967="",FALSE,ISNUMBER(VALUE(metadata!C967))),metadata!C967&gt;0))</f>
        <v>0</v>
      </c>
      <c r="X967">
        <f>AND(IF(metadata!D967="",FALSE,TRUE),exact(metadata!D967,"weeks"))</f>
        <v>0</v>
      </c>
      <c r="Y967">
        <f>AND(IF(metadata!E967="",FALSE,TRUE),exact(metadata!E967,"urban biome"))</f>
        <v>0</v>
      </c>
      <c r="Z967">
        <f>AND(IF(metadata!F967="",FALSE,TRUE),exact(metadata!F967,"animal-associated habitat"))</f>
        <v>0</v>
      </c>
      <c r="AA967">
        <f>AND(IF(metadata!G967="",FALSE,TRUE),exact(metadata!G967,"mouse"))</f>
        <v>0</v>
      </c>
      <c r="AB967">
        <f>AND(IF(metadata!H967="",FALSE,TRUE),exact(metadata!H967,"Mus musculus"))</f>
        <v>0</v>
      </c>
      <c r="AC967">
        <f>AND(IF(metadata!I967="",FALSE,TRUE),exact(metadata!I967,"10090"))</f>
        <v>0</v>
      </c>
      <c r="AD967">
        <f>OR(AND(IF(metadata!J967="",FALSE,TRUE),OR(exact(metadata!J967,"not applicable"),exact(metadata!J967,"missing: not collected"),exact(metadata!J967,"missing: not provided"),exact(metadata!J967,"missing: restricted access"))),AND(IF(metadata!J967="",FALSE,ISNUMBER(VALUE(metadata!J967))),metadata!J967&gt;0))</f>
        <v>0</v>
      </c>
      <c r="AE967">
        <f>AND(IF(metadata!K967="",FALSE,TRUE),exact(metadata!K967,"g"))</f>
        <v>0</v>
      </c>
    </row>
    <row r="968" spans="1:31">
      <c r="A968" s="5">
        <f>IF(B968=" "," ",HYPERLINK(CONCATENATE("#metadata!",ADDRESS(INDEX($Q$2:$Q$1001,MATCH(ROWS($O$2:O968),$O$2:$O$1001,0),0),1)),INDEX($T$2:$T$1001,MATCH(ROWS($O$2:O968),$O$2:$O$1001,0),0)))</f>
        <v>0</v>
      </c>
      <c r="B968" s="4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4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4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4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4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4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4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4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4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4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OR(AND(IF(metadata!C968="",FALSE,TRUE),OR(exact(metadata!C968,"not applicable"),exact(metadata!C968,"missing: not collected"),exact(metadata!C968,"missing: not provided"),exact(metadata!C968,"missing: restricted access"))),AND(IF(metadata!C968="",FALSE,ISNUMBER(VALUE(metadata!C968))),metadata!C968&gt;0))</f>
        <v>0</v>
      </c>
      <c r="X968">
        <f>AND(IF(metadata!D968="",FALSE,TRUE),exact(metadata!D968,"weeks"))</f>
        <v>0</v>
      </c>
      <c r="Y968">
        <f>AND(IF(metadata!E968="",FALSE,TRUE),exact(metadata!E968,"urban biome"))</f>
        <v>0</v>
      </c>
      <c r="Z968">
        <f>AND(IF(metadata!F968="",FALSE,TRUE),exact(metadata!F968,"animal-associated habitat"))</f>
        <v>0</v>
      </c>
      <c r="AA968">
        <f>AND(IF(metadata!G968="",FALSE,TRUE),exact(metadata!G968,"mouse"))</f>
        <v>0</v>
      </c>
      <c r="AB968">
        <f>AND(IF(metadata!H968="",FALSE,TRUE),exact(metadata!H968,"Mus musculus"))</f>
        <v>0</v>
      </c>
      <c r="AC968">
        <f>AND(IF(metadata!I968="",FALSE,TRUE),exact(metadata!I968,"10090"))</f>
        <v>0</v>
      </c>
      <c r="AD968">
        <f>OR(AND(IF(metadata!J968="",FALSE,TRUE),OR(exact(metadata!J968,"not applicable"),exact(metadata!J968,"missing: not collected"),exact(metadata!J968,"missing: not provided"),exact(metadata!J968,"missing: restricted access"))),AND(IF(metadata!J968="",FALSE,ISNUMBER(VALUE(metadata!J968))),metadata!J968&gt;0))</f>
        <v>0</v>
      </c>
      <c r="AE968">
        <f>AND(IF(metadata!K968="",FALSE,TRUE),exact(metadata!K968,"g"))</f>
        <v>0</v>
      </c>
    </row>
    <row r="969" spans="1:31">
      <c r="A969" s="5">
        <f>IF(B969=" "," ",HYPERLINK(CONCATENATE("#metadata!",ADDRESS(INDEX($Q$2:$Q$1001,MATCH(ROWS($O$2:O969),$O$2:$O$1001,0),0),1)),INDEX($T$2:$T$1001,MATCH(ROWS($O$2:O969),$O$2:$O$1001,0),0)))</f>
        <v>0</v>
      </c>
      <c r="B969" s="4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4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4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4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4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4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4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4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4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4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OR(AND(IF(metadata!C969="",FALSE,TRUE),OR(exact(metadata!C969,"not applicable"),exact(metadata!C969,"missing: not collected"),exact(metadata!C969,"missing: not provided"),exact(metadata!C969,"missing: restricted access"))),AND(IF(metadata!C969="",FALSE,ISNUMBER(VALUE(metadata!C969))),metadata!C969&gt;0))</f>
        <v>0</v>
      </c>
      <c r="X969">
        <f>AND(IF(metadata!D969="",FALSE,TRUE),exact(metadata!D969,"weeks"))</f>
        <v>0</v>
      </c>
      <c r="Y969">
        <f>AND(IF(metadata!E969="",FALSE,TRUE),exact(metadata!E969,"urban biome"))</f>
        <v>0</v>
      </c>
      <c r="Z969">
        <f>AND(IF(metadata!F969="",FALSE,TRUE),exact(metadata!F969,"animal-associated habitat"))</f>
        <v>0</v>
      </c>
      <c r="AA969">
        <f>AND(IF(metadata!G969="",FALSE,TRUE),exact(metadata!G969,"mouse"))</f>
        <v>0</v>
      </c>
      <c r="AB969">
        <f>AND(IF(metadata!H969="",FALSE,TRUE),exact(metadata!H969,"Mus musculus"))</f>
        <v>0</v>
      </c>
      <c r="AC969">
        <f>AND(IF(metadata!I969="",FALSE,TRUE),exact(metadata!I969,"10090"))</f>
        <v>0</v>
      </c>
      <c r="AD969">
        <f>OR(AND(IF(metadata!J969="",FALSE,TRUE),OR(exact(metadata!J969,"not applicable"),exact(metadata!J969,"missing: not collected"),exact(metadata!J969,"missing: not provided"),exact(metadata!J969,"missing: restricted access"))),AND(IF(metadata!J969="",FALSE,ISNUMBER(VALUE(metadata!J969))),metadata!J969&gt;0))</f>
        <v>0</v>
      </c>
      <c r="AE969">
        <f>AND(IF(metadata!K969="",FALSE,TRUE),exact(metadata!K969,"g"))</f>
        <v>0</v>
      </c>
    </row>
    <row r="970" spans="1:31">
      <c r="A970" s="5">
        <f>IF(B970=" "," ",HYPERLINK(CONCATENATE("#metadata!",ADDRESS(INDEX($Q$2:$Q$1001,MATCH(ROWS($O$2:O970),$O$2:$O$1001,0),0),1)),INDEX($T$2:$T$1001,MATCH(ROWS($O$2:O970),$O$2:$O$1001,0),0)))</f>
        <v>0</v>
      </c>
      <c r="B970" s="4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4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4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4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4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4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4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4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4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4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OR(AND(IF(metadata!C970="",FALSE,TRUE),OR(exact(metadata!C970,"not applicable"),exact(metadata!C970,"missing: not collected"),exact(metadata!C970,"missing: not provided"),exact(metadata!C970,"missing: restricted access"))),AND(IF(metadata!C970="",FALSE,ISNUMBER(VALUE(metadata!C970))),metadata!C970&gt;0))</f>
        <v>0</v>
      </c>
      <c r="X970">
        <f>AND(IF(metadata!D970="",FALSE,TRUE),exact(metadata!D970,"weeks"))</f>
        <v>0</v>
      </c>
      <c r="Y970">
        <f>AND(IF(metadata!E970="",FALSE,TRUE),exact(metadata!E970,"urban biome"))</f>
        <v>0</v>
      </c>
      <c r="Z970">
        <f>AND(IF(metadata!F970="",FALSE,TRUE),exact(metadata!F970,"animal-associated habitat"))</f>
        <v>0</v>
      </c>
      <c r="AA970">
        <f>AND(IF(metadata!G970="",FALSE,TRUE),exact(metadata!G970,"mouse"))</f>
        <v>0</v>
      </c>
      <c r="AB970">
        <f>AND(IF(metadata!H970="",FALSE,TRUE),exact(metadata!H970,"Mus musculus"))</f>
        <v>0</v>
      </c>
      <c r="AC970">
        <f>AND(IF(metadata!I970="",FALSE,TRUE),exact(metadata!I970,"10090"))</f>
        <v>0</v>
      </c>
      <c r="AD970">
        <f>OR(AND(IF(metadata!J970="",FALSE,TRUE),OR(exact(metadata!J970,"not applicable"),exact(metadata!J970,"missing: not collected"),exact(metadata!J970,"missing: not provided"),exact(metadata!J970,"missing: restricted access"))),AND(IF(metadata!J970="",FALSE,ISNUMBER(VALUE(metadata!J970))),metadata!J970&gt;0))</f>
        <v>0</v>
      </c>
      <c r="AE970">
        <f>AND(IF(metadata!K970="",FALSE,TRUE),exact(metadata!K970,"g"))</f>
        <v>0</v>
      </c>
    </row>
    <row r="971" spans="1:31">
      <c r="A971" s="5">
        <f>IF(B971=" "," ",HYPERLINK(CONCATENATE("#metadata!",ADDRESS(INDEX($Q$2:$Q$1001,MATCH(ROWS($O$2:O971),$O$2:$O$1001,0),0),1)),INDEX($T$2:$T$1001,MATCH(ROWS($O$2:O971),$O$2:$O$1001,0),0)))</f>
        <v>0</v>
      </c>
      <c r="B971" s="4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4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4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4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4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4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4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4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4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4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OR(AND(IF(metadata!C971="",FALSE,TRUE),OR(exact(metadata!C971,"not applicable"),exact(metadata!C971,"missing: not collected"),exact(metadata!C971,"missing: not provided"),exact(metadata!C971,"missing: restricted access"))),AND(IF(metadata!C971="",FALSE,ISNUMBER(VALUE(metadata!C971))),metadata!C971&gt;0))</f>
        <v>0</v>
      </c>
      <c r="X971">
        <f>AND(IF(metadata!D971="",FALSE,TRUE),exact(metadata!D971,"weeks"))</f>
        <v>0</v>
      </c>
      <c r="Y971">
        <f>AND(IF(metadata!E971="",FALSE,TRUE),exact(metadata!E971,"urban biome"))</f>
        <v>0</v>
      </c>
      <c r="Z971">
        <f>AND(IF(metadata!F971="",FALSE,TRUE),exact(metadata!F971,"animal-associated habitat"))</f>
        <v>0</v>
      </c>
      <c r="AA971">
        <f>AND(IF(metadata!G971="",FALSE,TRUE),exact(metadata!G971,"mouse"))</f>
        <v>0</v>
      </c>
      <c r="AB971">
        <f>AND(IF(metadata!H971="",FALSE,TRUE),exact(metadata!H971,"Mus musculus"))</f>
        <v>0</v>
      </c>
      <c r="AC971">
        <f>AND(IF(metadata!I971="",FALSE,TRUE),exact(metadata!I971,"10090"))</f>
        <v>0</v>
      </c>
      <c r="AD971">
        <f>OR(AND(IF(metadata!J971="",FALSE,TRUE),OR(exact(metadata!J971,"not applicable"),exact(metadata!J971,"missing: not collected"),exact(metadata!J971,"missing: not provided"),exact(metadata!J971,"missing: restricted access"))),AND(IF(metadata!J971="",FALSE,ISNUMBER(VALUE(metadata!J971))),metadata!J971&gt;0))</f>
        <v>0</v>
      </c>
      <c r="AE971">
        <f>AND(IF(metadata!K971="",FALSE,TRUE),exact(metadata!K971,"g"))</f>
        <v>0</v>
      </c>
    </row>
    <row r="972" spans="1:31">
      <c r="A972" s="5">
        <f>IF(B972=" "," ",HYPERLINK(CONCATENATE("#metadata!",ADDRESS(INDEX($Q$2:$Q$1001,MATCH(ROWS($O$2:O972),$O$2:$O$1001,0),0),1)),INDEX($T$2:$T$1001,MATCH(ROWS($O$2:O972),$O$2:$O$1001,0),0)))</f>
        <v>0</v>
      </c>
      <c r="B972" s="4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4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4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4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4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4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4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4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4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4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OR(AND(IF(metadata!C972="",FALSE,TRUE),OR(exact(metadata!C972,"not applicable"),exact(metadata!C972,"missing: not collected"),exact(metadata!C972,"missing: not provided"),exact(metadata!C972,"missing: restricted access"))),AND(IF(metadata!C972="",FALSE,ISNUMBER(VALUE(metadata!C972))),metadata!C972&gt;0))</f>
        <v>0</v>
      </c>
      <c r="X972">
        <f>AND(IF(metadata!D972="",FALSE,TRUE),exact(metadata!D972,"weeks"))</f>
        <v>0</v>
      </c>
      <c r="Y972">
        <f>AND(IF(metadata!E972="",FALSE,TRUE),exact(metadata!E972,"urban biome"))</f>
        <v>0</v>
      </c>
      <c r="Z972">
        <f>AND(IF(metadata!F972="",FALSE,TRUE),exact(metadata!F972,"animal-associated habitat"))</f>
        <v>0</v>
      </c>
      <c r="AA972">
        <f>AND(IF(metadata!G972="",FALSE,TRUE),exact(metadata!G972,"mouse"))</f>
        <v>0</v>
      </c>
      <c r="AB972">
        <f>AND(IF(metadata!H972="",FALSE,TRUE),exact(metadata!H972,"Mus musculus"))</f>
        <v>0</v>
      </c>
      <c r="AC972">
        <f>AND(IF(metadata!I972="",FALSE,TRUE),exact(metadata!I972,"10090"))</f>
        <v>0</v>
      </c>
      <c r="AD972">
        <f>OR(AND(IF(metadata!J972="",FALSE,TRUE),OR(exact(metadata!J972,"not applicable"),exact(metadata!J972,"missing: not collected"),exact(metadata!J972,"missing: not provided"),exact(metadata!J972,"missing: restricted access"))),AND(IF(metadata!J972="",FALSE,ISNUMBER(VALUE(metadata!J972))),metadata!J972&gt;0))</f>
        <v>0</v>
      </c>
      <c r="AE972">
        <f>AND(IF(metadata!K972="",FALSE,TRUE),exact(metadata!K972,"g"))</f>
        <v>0</v>
      </c>
    </row>
    <row r="973" spans="1:31">
      <c r="A973" s="5">
        <f>IF(B973=" "," ",HYPERLINK(CONCATENATE("#metadata!",ADDRESS(INDEX($Q$2:$Q$1001,MATCH(ROWS($O$2:O973),$O$2:$O$1001,0),0),1)),INDEX($T$2:$T$1001,MATCH(ROWS($O$2:O973),$O$2:$O$1001,0),0)))</f>
        <v>0</v>
      </c>
      <c r="B973" s="4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4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4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4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4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4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4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4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4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4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OR(AND(IF(metadata!C973="",FALSE,TRUE),OR(exact(metadata!C973,"not applicable"),exact(metadata!C973,"missing: not collected"),exact(metadata!C973,"missing: not provided"),exact(metadata!C973,"missing: restricted access"))),AND(IF(metadata!C973="",FALSE,ISNUMBER(VALUE(metadata!C973))),metadata!C973&gt;0))</f>
        <v>0</v>
      </c>
      <c r="X973">
        <f>AND(IF(metadata!D973="",FALSE,TRUE),exact(metadata!D973,"weeks"))</f>
        <v>0</v>
      </c>
      <c r="Y973">
        <f>AND(IF(metadata!E973="",FALSE,TRUE),exact(metadata!E973,"urban biome"))</f>
        <v>0</v>
      </c>
      <c r="Z973">
        <f>AND(IF(metadata!F973="",FALSE,TRUE),exact(metadata!F973,"animal-associated habitat"))</f>
        <v>0</v>
      </c>
      <c r="AA973">
        <f>AND(IF(metadata!G973="",FALSE,TRUE),exact(metadata!G973,"mouse"))</f>
        <v>0</v>
      </c>
      <c r="AB973">
        <f>AND(IF(metadata!H973="",FALSE,TRUE),exact(metadata!H973,"Mus musculus"))</f>
        <v>0</v>
      </c>
      <c r="AC973">
        <f>AND(IF(metadata!I973="",FALSE,TRUE),exact(metadata!I973,"10090"))</f>
        <v>0</v>
      </c>
      <c r="AD973">
        <f>OR(AND(IF(metadata!J973="",FALSE,TRUE),OR(exact(metadata!J973,"not applicable"),exact(metadata!J973,"missing: not collected"),exact(metadata!J973,"missing: not provided"),exact(metadata!J973,"missing: restricted access"))),AND(IF(metadata!J973="",FALSE,ISNUMBER(VALUE(metadata!J973))),metadata!J973&gt;0))</f>
        <v>0</v>
      </c>
      <c r="AE973">
        <f>AND(IF(metadata!K973="",FALSE,TRUE),exact(metadata!K973,"g"))</f>
        <v>0</v>
      </c>
    </row>
    <row r="974" spans="1:31">
      <c r="A974" s="5">
        <f>IF(B974=" "," ",HYPERLINK(CONCATENATE("#metadata!",ADDRESS(INDEX($Q$2:$Q$1001,MATCH(ROWS($O$2:O974),$O$2:$O$1001,0),0),1)),INDEX($T$2:$T$1001,MATCH(ROWS($O$2:O974),$O$2:$O$1001,0),0)))</f>
        <v>0</v>
      </c>
      <c r="B974" s="4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4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4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4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4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4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4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4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4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4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OR(AND(IF(metadata!C974="",FALSE,TRUE),OR(exact(metadata!C974,"not applicable"),exact(metadata!C974,"missing: not collected"),exact(metadata!C974,"missing: not provided"),exact(metadata!C974,"missing: restricted access"))),AND(IF(metadata!C974="",FALSE,ISNUMBER(VALUE(metadata!C974))),metadata!C974&gt;0))</f>
        <v>0</v>
      </c>
      <c r="X974">
        <f>AND(IF(metadata!D974="",FALSE,TRUE),exact(metadata!D974,"weeks"))</f>
        <v>0</v>
      </c>
      <c r="Y974">
        <f>AND(IF(metadata!E974="",FALSE,TRUE),exact(metadata!E974,"urban biome"))</f>
        <v>0</v>
      </c>
      <c r="Z974">
        <f>AND(IF(metadata!F974="",FALSE,TRUE),exact(metadata!F974,"animal-associated habitat"))</f>
        <v>0</v>
      </c>
      <c r="AA974">
        <f>AND(IF(metadata!G974="",FALSE,TRUE),exact(metadata!G974,"mouse"))</f>
        <v>0</v>
      </c>
      <c r="AB974">
        <f>AND(IF(metadata!H974="",FALSE,TRUE),exact(metadata!H974,"Mus musculus"))</f>
        <v>0</v>
      </c>
      <c r="AC974">
        <f>AND(IF(metadata!I974="",FALSE,TRUE),exact(metadata!I974,"10090"))</f>
        <v>0</v>
      </c>
      <c r="AD974">
        <f>OR(AND(IF(metadata!J974="",FALSE,TRUE),OR(exact(metadata!J974,"not applicable"),exact(metadata!J974,"missing: not collected"),exact(metadata!J974,"missing: not provided"),exact(metadata!J974,"missing: restricted access"))),AND(IF(metadata!J974="",FALSE,ISNUMBER(VALUE(metadata!J974))),metadata!J974&gt;0))</f>
        <v>0</v>
      </c>
      <c r="AE974">
        <f>AND(IF(metadata!K974="",FALSE,TRUE),exact(metadata!K974,"g"))</f>
        <v>0</v>
      </c>
    </row>
    <row r="975" spans="1:31">
      <c r="A975" s="5">
        <f>IF(B975=" "," ",HYPERLINK(CONCATENATE("#metadata!",ADDRESS(INDEX($Q$2:$Q$1001,MATCH(ROWS($O$2:O975),$O$2:$O$1001,0),0),1)),INDEX($T$2:$T$1001,MATCH(ROWS($O$2:O975),$O$2:$O$1001,0),0)))</f>
        <v>0</v>
      </c>
      <c r="B975" s="4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4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4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4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4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4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4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4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4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4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OR(AND(IF(metadata!C975="",FALSE,TRUE),OR(exact(metadata!C975,"not applicable"),exact(metadata!C975,"missing: not collected"),exact(metadata!C975,"missing: not provided"),exact(metadata!C975,"missing: restricted access"))),AND(IF(metadata!C975="",FALSE,ISNUMBER(VALUE(metadata!C975))),metadata!C975&gt;0))</f>
        <v>0</v>
      </c>
      <c r="X975">
        <f>AND(IF(metadata!D975="",FALSE,TRUE),exact(metadata!D975,"weeks"))</f>
        <v>0</v>
      </c>
      <c r="Y975">
        <f>AND(IF(metadata!E975="",FALSE,TRUE),exact(metadata!E975,"urban biome"))</f>
        <v>0</v>
      </c>
      <c r="Z975">
        <f>AND(IF(metadata!F975="",FALSE,TRUE),exact(metadata!F975,"animal-associated habitat"))</f>
        <v>0</v>
      </c>
      <c r="AA975">
        <f>AND(IF(metadata!G975="",FALSE,TRUE),exact(metadata!G975,"mouse"))</f>
        <v>0</v>
      </c>
      <c r="AB975">
        <f>AND(IF(metadata!H975="",FALSE,TRUE),exact(metadata!H975,"Mus musculus"))</f>
        <v>0</v>
      </c>
      <c r="AC975">
        <f>AND(IF(metadata!I975="",FALSE,TRUE),exact(metadata!I975,"10090"))</f>
        <v>0</v>
      </c>
      <c r="AD975">
        <f>OR(AND(IF(metadata!J975="",FALSE,TRUE),OR(exact(metadata!J975,"not applicable"),exact(metadata!J975,"missing: not collected"),exact(metadata!J975,"missing: not provided"),exact(metadata!J975,"missing: restricted access"))),AND(IF(metadata!J975="",FALSE,ISNUMBER(VALUE(metadata!J975))),metadata!J975&gt;0))</f>
        <v>0</v>
      </c>
      <c r="AE975">
        <f>AND(IF(metadata!K975="",FALSE,TRUE),exact(metadata!K975,"g"))</f>
        <v>0</v>
      </c>
    </row>
    <row r="976" spans="1:31">
      <c r="A976" s="5">
        <f>IF(B976=" "," ",HYPERLINK(CONCATENATE("#metadata!",ADDRESS(INDEX($Q$2:$Q$1001,MATCH(ROWS($O$2:O976),$O$2:$O$1001,0),0),1)),INDEX($T$2:$T$1001,MATCH(ROWS($O$2:O976),$O$2:$O$1001,0),0)))</f>
        <v>0</v>
      </c>
      <c r="B976" s="4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4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4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4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4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4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4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4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4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4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OR(AND(IF(metadata!C976="",FALSE,TRUE),OR(exact(metadata!C976,"not applicable"),exact(metadata!C976,"missing: not collected"),exact(metadata!C976,"missing: not provided"),exact(metadata!C976,"missing: restricted access"))),AND(IF(metadata!C976="",FALSE,ISNUMBER(VALUE(metadata!C976))),metadata!C976&gt;0))</f>
        <v>0</v>
      </c>
      <c r="X976">
        <f>AND(IF(metadata!D976="",FALSE,TRUE),exact(metadata!D976,"weeks"))</f>
        <v>0</v>
      </c>
      <c r="Y976">
        <f>AND(IF(metadata!E976="",FALSE,TRUE),exact(metadata!E976,"urban biome"))</f>
        <v>0</v>
      </c>
      <c r="Z976">
        <f>AND(IF(metadata!F976="",FALSE,TRUE),exact(metadata!F976,"animal-associated habitat"))</f>
        <v>0</v>
      </c>
      <c r="AA976">
        <f>AND(IF(metadata!G976="",FALSE,TRUE),exact(metadata!G976,"mouse"))</f>
        <v>0</v>
      </c>
      <c r="AB976">
        <f>AND(IF(metadata!H976="",FALSE,TRUE),exact(metadata!H976,"Mus musculus"))</f>
        <v>0</v>
      </c>
      <c r="AC976">
        <f>AND(IF(metadata!I976="",FALSE,TRUE),exact(metadata!I976,"10090"))</f>
        <v>0</v>
      </c>
      <c r="AD976">
        <f>OR(AND(IF(metadata!J976="",FALSE,TRUE),OR(exact(metadata!J976,"not applicable"),exact(metadata!J976,"missing: not collected"),exact(metadata!J976,"missing: not provided"),exact(metadata!J976,"missing: restricted access"))),AND(IF(metadata!J976="",FALSE,ISNUMBER(VALUE(metadata!J976))),metadata!J976&gt;0))</f>
        <v>0</v>
      </c>
      <c r="AE976">
        <f>AND(IF(metadata!K976="",FALSE,TRUE),exact(metadata!K976,"g"))</f>
        <v>0</v>
      </c>
    </row>
    <row r="977" spans="1:31">
      <c r="A977" s="5">
        <f>IF(B977=" "," ",HYPERLINK(CONCATENATE("#metadata!",ADDRESS(INDEX($Q$2:$Q$1001,MATCH(ROWS($O$2:O977),$O$2:$O$1001,0),0),1)),INDEX($T$2:$T$1001,MATCH(ROWS($O$2:O977),$O$2:$O$1001,0),0)))</f>
        <v>0</v>
      </c>
      <c r="B977" s="4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4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4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4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4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4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4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4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4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4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OR(AND(IF(metadata!C977="",FALSE,TRUE),OR(exact(metadata!C977,"not applicable"),exact(metadata!C977,"missing: not collected"),exact(metadata!C977,"missing: not provided"),exact(metadata!C977,"missing: restricted access"))),AND(IF(metadata!C977="",FALSE,ISNUMBER(VALUE(metadata!C977))),metadata!C977&gt;0))</f>
        <v>0</v>
      </c>
      <c r="X977">
        <f>AND(IF(metadata!D977="",FALSE,TRUE),exact(metadata!D977,"weeks"))</f>
        <v>0</v>
      </c>
      <c r="Y977">
        <f>AND(IF(metadata!E977="",FALSE,TRUE),exact(metadata!E977,"urban biome"))</f>
        <v>0</v>
      </c>
      <c r="Z977">
        <f>AND(IF(metadata!F977="",FALSE,TRUE),exact(metadata!F977,"animal-associated habitat"))</f>
        <v>0</v>
      </c>
      <c r="AA977">
        <f>AND(IF(metadata!G977="",FALSE,TRUE),exact(metadata!G977,"mouse"))</f>
        <v>0</v>
      </c>
      <c r="AB977">
        <f>AND(IF(metadata!H977="",FALSE,TRUE),exact(metadata!H977,"Mus musculus"))</f>
        <v>0</v>
      </c>
      <c r="AC977">
        <f>AND(IF(metadata!I977="",FALSE,TRUE),exact(metadata!I977,"10090"))</f>
        <v>0</v>
      </c>
      <c r="AD977">
        <f>OR(AND(IF(metadata!J977="",FALSE,TRUE),OR(exact(metadata!J977,"not applicable"),exact(metadata!J977,"missing: not collected"),exact(metadata!J977,"missing: not provided"),exact(metadata!J977,"missing: restricted access"))),AND(IF(metadata!J977="",FALSE,ISNUMBER(VALUE(metadata!J977))),metadata!J977&gt;0))</f>
        <v>0</v>
      </c>
      <c r="AE977">
        <f>AND(IF(metadata!K977="",FALSE,TRUE),exact(metadata!K977,"g"))</f>
        <v>0</v>
      </c>
    </row>
    <row r="978" spans="1:31">
      <c r="A978" s="5">
        <f>IF(B978=" "," ",HYPERLINK(CONCATENATE("#metadata!",ADDRESS(INDEX($Q$2:$Q$1001,MATCH(ROWS($O$2:O978),$O$2:$O$1001,0),0),1)),INDEX($T$2:$T$1001,MATCH(ROWS($O$2:O978),$O$2:$O$1001,0),0)))</f>
        <v>0</v>
      </c>
      <c r="B978" s="4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4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4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4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4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4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4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4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4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4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OR(AND(IF(metadata!C978="",FALSE,TRUE),OR(exact(metadata!C978,"not applicable"),exact(metadata!C978,"missing: not collected"),exact(metadata!C978,"missing: not provided"),exact(metadata!C978,"missing: restricted access"))),AND(IF(metadata!C978="",FALSE,ISNUMBER(VALUE(metadata!C978))),metadata!C978&gt;0))</f>
        <v>0</v>
      </c>
      <c r="X978">
        <f>AND(IF(metadata!D978="",FALSE,TRUE),exact(metadata!D978,"weeks"))</f>
        <v>0</v>
      </c>
      <c r="Y978">
        <f>AND(IF(metadata!E978="",FALSE,TRUE),exact(metadata!E978,"urban biome"))</f>
        <v>0</v>
      </c>
      <c r="Z978">
        <f>AND(IF(metadata!F978="",FALSE,TRUE),exact(metadata!F978,"animal-associated habitat"))</f>
        <v>0</v>
      </c>
      <c r="AA978">
        <f>AND(IF(metadata!G978="",FALSE,TRUE),exact(metadata!G978,"mouse"))</f>
        <v>0</v>
      </c>
      <c r="AB978">
        <f>AND(IF(metadata!H978="",FALSE,TRUE),exact(metadata!H978,"Mus musculus"))</f>
        <v>0</v>
      </c>
      <c r="AC978">
        <f>AND(IF(metadata!I978="",FALSE,TRUE),exact(metadata!I978,"10090"))</f>
        <v>0</v>
      </c>
      <c r="AD978">
        <f>OR(AND(IF(metadata!J978="",FALSE,TRUE),OR(exact(metadata!J978,"not applicable"),exact(metadata!J978,"missing: not collected"),exact(metadata!J978,"missing: not provided"),exact(metadata!J978,"missing: restricted access"))),AND(IF(metadata!J978="",FALSE,ISNUMBER(VALUE(metadata!J978))),metadata!J978&gt;0))</f>
        <v>0</v>
      </c>
      <c r="AE978">
        <f>AND(IF(metadata!K978="",FALSE,TRUE),exact(metadata!K978,"g"))</f>
        <v>0</v>
      </c>
    </row>
    <row r="979" spans="1:31">
      <c r="A979" s="5">
        <f>IF(B979=" "," ",HYPERLINK(CONCATENATE("#metadata!",ADDRESS(INDEX($Q$2:$Q$1001,MATCH(ROWS($O$2:O979),$O$2:$O$1001,0),0),1)),INDEX($T$2:$T$1001,MATCH(ROWS($O$2:O979),$O$2:$O$1001,0),0)))</f>
        <v>0</v>
      </c>
      <c r="B979" s="4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4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4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4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4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4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4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4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4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4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OR(AND(IF(metadata!C979="",FALSE,TRUE),OR(exact(metadata!C979,"not applicable"),exact(metadata!C979,"missing: not collected"),exact(metadata!C979,"missing: not provided"),exact(metadata!C979,"missing: restricted access"))),AND(IF(metadata!C979="",FALSE,ISNUMBER(VALUE(metadata!C979))),metadata!C979&gt;0))</f>
        <v>0</v>
      </c>
      <c r="X979">
        <f>AND(IF(metadata!D979="",FALSE,TRUE),exact(metadata!D979,"weeks"))</f>
        <v>0</v>
      </c>
      <c r="Y979">
        <f>AND(IF(metadata!E979="",FALSE,TRUE),exact(metadata!E979,"urban biome"))</f>
        <v>0</v>
      </c>
      <c r="Z979">
        <f>AND(IF(metadata!F979="",FALSE,TRUE),exact(metadata!F979,"animal-associated habitat"))</f>
        <v>0</v>
      </c>
      <c r="AA979">
        <f>AND(IF(metadata!G979="",FALSE,TRUE),exact(metadata!G979,"mouse"))</f>
        <v>0</v>
      </c>
      <c r="AB979">
        <f>AND(IF(metadata!H979="",FALSE,TRUE),exact(metadata!H979,"Mus musculus"))</f>
        <v>0</v>
      </c>
      <c r="AC979">
        <f>AND(IF(metadata!I979="",FALSE,TRUE),exact(metadata!I979,"10090"))</f>
        <v>0</v>
      </c>
      <c r="AD979">
        <f>OR(AND(IF(metadata!J979="",FALSE,TRUE),OR(exact(metadata!J979,"not applicable"),exact(metadata!J979,"missing: not collected"),exact(metadata!J979,"missing: not provided"),exact(metadata!J979,"missing: restricted access"))),AND(IF(metadata!J979="",FALSE,ISNUMBER(VALUE(metadata!J979))),metadata!J979&gt;0))</f>
        <v>0</v>
      </c>
      <c r="AE979">
        <f>AND(IF(metadata!K979="",FALSE,TRUE),exact(metadata!K979,"g"))</f>
        <v>0</v>
      </c>
    </row>
    <row r="980" spans="1:31">
      <c r="A980" s="5">
        <f>IF(B980=" "," ",HYPERLINK(CONCATENATE("#metadata!",ADDRESS(INDEX($Q$2:$Q$1001,MATCH(ROWS($O$2:O980),$O$2:$O$1001,0),0),1)),INDEX($T$2:$T$1001,MATCH(ROWS($O$2:O980),$O$2:$O$1001,0),0)))</f>
        <v>0</v>
      </c>
      <c r="B980" s="4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4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4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4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4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4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4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4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4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4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OR(AND(IF(metadata!C980="",FALSE,TRUE),OR(exact(metadata!C980,"not applicable"),exact(metadata!C980,"missing: not collected"),exact(metadata!C980,"missing: not provided"),exact(metadata!C980,"missing: restricted access"))),AND(IF(metadata!C980="",FALSE,ISNUMBER(VALUE(metadata!C980))),metadata!C980&gt;0))</f>
        <v>0</v>
      </c>
      <c r="X980">
        <f>AND(IF(metadata!D980="",FALSE,TRUE),exact(metadata!D980,"weeks"))</f>
        <v>0</v>
      </c>
      <c r="Y980">
        <f>AND(IF(metadata!E980="",FALSE,TRUE),exact(metadata!E980,"urban biome"))</f>
        <v>0</v>
      </c>
      <c r="Z980">
        <f>AND(IF(metadata!F980="",FALSE,TRUE),exact(metadata!F980,"animal-associated habitat"))</f>
        <v>0</v>
      </c>
      <c r="AA980">
        <f>AND(IF(metadata!G980="",FALSE,TRUE),exact(metadata!G980,"mouse"))</f>
        <v>0</v>
      </c>
      <c r="AB980">
        <f>AND(IF(metadata!H980="",FALSE,TRUE),exact(metadata!H980,"Mus musculus"))</f>
        <v>0</v>
      </c>
      <c r="AC980">
        <f>AND(IF(metadata!I980="",FALSE,TRUE),exact(metadata!I980,"10090"))</f>
        <v>0</v>
      </c>
      <c r="AD980">
        <f>OR(AND(IF(metadata!J980="",FALSE,TRUE),OR(exact(metadata!J980,"not applicable"),exact(metadata!J980,"missing: not collected"),exact(metadata!J980,"missing: not provided"),exact(metadata!J980,"missing: restricted access"))),AND(IF(metadata!J980="",FALSE,ISNUMBER(VALUE(metadata!J980))),metadata!J980&gt;0))</f>
        <v>0</v>
      </c>
      <c r="AE980">
        <f>AND(IF(metadata!K980="",FALSE,TRUE),exact(metadata!K980,"g"))</f>
        <v>0</v>
      </c>
    </row>
    <row r="981" spans="1:31">
      <c r="A981" s="5">
        <f>IF(B981=" "," ",HYPERLINK(CONCATENATE("#metadata!",ADDRESS(INDEX($Q$2:$Q$1001,MATCH(ROWS($O$2:O981),$O$2:$O$1001,0),0),1)),INDEX($T$2:$T$1001,MATCH(ROWS($O$2:O981),$O$2:$O$1001,0),0)))</f>
        <v>0</v>
      </c>
      <c r="B981" s="4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4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4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4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4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4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4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4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4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4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OR(AND(IF(metadata!C981="",FALSE,TRUE),OR(exact(metadata!C981,"not applicable"),exact(metadata!C981,"missing: not collected"),exact(metadata!C981,"missing: not provided"),exact(metadata!C981,"missing: restricted access"))),AND(IF(metadata!C981="",FALSE,ISNUMBER(VALUE(metadata!C981))),metadata!C981&gt;0))</f>
        <v>0</v>
      </c>
      <c r="X981">
        <f>AND(IF(metadata!D981="",FALSE,TRUE),exact(metadata!D981,"weeks"))</f>
        <v>0</v>
      </c>
      <c r="Y981">
        <f>AND(IF(metadata!E981="",FALSE,TRUE),exact(metadata!E981,"urban biome"))</f>
        <v>0</v>
      </c>
      <c r="Z981">
        <f>AND(IF(metadata!F981="",FALSE,TRUE),exact(metadata!F981,"animal-associated habitat"))</f>
        <v>0</v>
      </c>
      <c r="AA981">
        <f>AND(IF(metadata!G981="",FALSE,TRUE),exact(metadata!G981,"mouse"))</f>
        <v>0</v>
      </c>
      <c r="AB981">
        <f>AND(IF(metadata!H981="",FALSE,TRUE),exact(metadata!H981,"Mus musculus"))</f>
        <v>0</v>
      </c>
      <c r="AC981">
        <f>AND(IF(metadata!I981="",FALSE,TRUE),exact(metadata!I981,"10090"))</f>
        <v>0</v>
      </c>
      <c r="AD981">
        <f>OR(AND(IF(metadata!J981="",FALSE,TRUE),OR(exact(metadata!J981,"not applicable"),exact(metadata!J981,"missing: not collected"),exact(metadata!J981,"missing: not provided"),exact(metadata!J981,"missing: restricted access"))),AND(IF(metadata!J981="",FALSE,ISNUMBER(VALUE(metadata!J981))),metadata!J981&gt;0))</f>
        <v>0</v>
      </c>
      <c r="AE981">
        <f>AND(IF(metadata!K981="",FALSE,TRUE),exact(metadata!K981,"g"))</f>
        <v>0</v>
      </c>
    </row>
    <row r="982" spans="1:31">
      <c r="A982" s="5">
        <f>IF(B982=" "," ",HYPERLINK(CONCATENATE("#metadata!",ADDRESS(INDEX($Q$2:$Q$1001,MATCH(ROWS($O$2:O982),$O$2:$O$1001,0),0),1)),INDEX($T$2:$T$1001,MATCH(ROWS($O$2:O982),$O$2:$O$1001,0),0)))</f>
        <v>0</v>
      </c>
      <c r="B982" s="4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4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4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4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4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4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4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4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4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4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OR(AND(IF(metadata!C982="",FALSE,TRUE),OR(exact(metadata!C982,"not applicable"),exact(metadata!C982,"missing: not collected"),exact(metadata!C982,"missing: not provided"),exact(metadata!C982,"missing: restricted access"))),AND(IF(metadata!C982="",FALSE,ISNUMBER(VALUE(metadata!C982))),metadata!C982&gt;0))</f>
        <v>0</v>
      </c>
      <c r="X982">
        <f>AND(IF(metadata!D982="",FALSE,TRUE),exact(metadata!D982,"weeks"))</f>
        <v>0</v>
      </c>
      <c r="Y982">
        <f>AND(IF(metadata!E982="",FALSE,TRUE),exact(metadata!E982,"urban biome"))</f>
        <v>0</v>
      </c>
      <c r="Z982">
        <f>AND(IF(metadata!F982="",FALSE,TRUE),exact(metadata!F982,"animal-associated habitat"))</f>
        <v>0</v>
      </c>
      <c r="AA982">
        <f>AND(IF(metadata!G982="",FALSE,TRUE),exact(metadata!G982,"mouse"))</f>
        <v>0</v>
      </c>
      <c r="AB982">
        <f>AND(IF(metadata!H982="",FALSE,TRUE),exact(metadata!H982,"Mus musculus"))</f>
        <v>0</v>
      </c>
      <c r="AC982">
        <f>AND(IF(metadata!I982="",FALSE,TRUE),exact(metadata!I982,"10090"))</f>
        <v>0</v>
      </c>
      <c r="AD982">
        <f>OR(AND(IF(metadata!J982="",FALSE,TRUE),OR(exact(metadata!J982,"not applicable"),exact(metadata!J982,"missing: not collected"),exact(metadata!J982,"missing: not provided"),exact(metadata!J982,"missing: restricted access"))),AND(IF(metadata!J982="",FALSE,ISNUMBER(VALUE(metadata!J982))),metadata!J982&gt;0))</f>
        <v>0</v>
      </c>
      <c r="AE982">
        <f>AND(IF(metadata!K982="",FALSE,TRUE),exact(metadata!K982,"g"))</f>
        <v>0</v>
      </c>
    </row>
    <row r="983" spans="1:31">
      <c r="A983" s="5">
        <f>IF(B983=" "," ",HYPERLINK(CONCATENATE("#metadata!",ADDRESS(INDEX($Q$2:$Q$1001,MATCH(ROWS($O$2:O983),$O$2:$O$1001,0),0),1)),INDEX($T$2:$T$1001,MATCH(ROWS($O$2:O983),$O$2:$O$1001,0),0)))</f>
        <v>0</v>
      </c>
      <c r="B983" s="4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4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4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4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4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4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4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4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4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4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OR(AND(IF(metadata!C983="",FALSE,TRUE),OR(exact(metadata!C983,"not applicable"),exact(metadata!C983,"missing: not collected"),exact(metadata!C983,"missing: not provided"),exact(metadata!C983,"missing: restricted access"))),AND(IF(metadata!C983="",FALSE,ISNUMBER(VALUE(metadata!C983))),metadata!C983&gt;0))</f>
        <v>0</v>
      </c>
      <c r="X983">
        <f>AND(IF(metadata!D983="",FALSE,TRUE),exact(metadata!D983,"weeks"))</f>
        <v>0</v>
      </c>
      <c r="Y983">
        <f>AND(IF(metadata!E983="",FALSE,TRUE),exact(metadata!E983,"urban biome"))</f>
        <v>0</v>
      </c>
      <c r="Z983">
        <f>AND(IF(metadata!F983="",FALSE,TRUE),exact(metadata!F983,"animal-associated habitat"))</f>
        <v>0</v>
      </c>
      <c r="AA983">
        <f>AND(IF(metadata!G983="",FALSE,TRUE),exact(metadata!G983,"mouse"))</f>
        <v>0</v>
      </c>
      <c r="AB983">
        <f>AND(IF(metadata!H983="",FALSE,TRUE),exact(metadata!H983,"Mus musculus"))</f>
        <v>0</v>
      </c>
      <c r="AC983">
        <f>AND(IF(metadata!I983="",FALSE,TRUE),exact(metadata!I983,"10090"))</f>
        <v>0</v>
      </c>
      <c r="AD983">
        <f>OR(AND(IF(metadata!J983="",FALSE,TRUE),OR(exact(metadata!J983,"not applicable"),exact(metadata!J983,"missing: not collected"),exact(metadata!J983,"missing: not provided"),exact(metadata!J983,"missing: restricted access"))),AND(IF(metadata!J983="",FALSE,ISNUMBER(VALUE(metadata!J983))),metadata!J983&gt;0))</f>
        <v>0</v>
      </c>
      <c r="AE983">
        <f>AND(IF(metadata!K983="",FALSE,TRUE),exact(metadata!K983,"g"))</f>
        <v>0</v>
      </c>
    </row>
    <row r="984" spans="1:31">
      <c r="A984" s="5">
        <f>IF(B984=" "," ",HYPERLINK(CONCATENATE("#metadata!",ADDRESS(INDEX($Q$2:$Q$1001,MATCH(ROWS($O$2:O984),$O$2:$O$1001,0),0),1)),INDEX($T$2:$T$1001,MATCH(ROWS($O$2:O984),$O$2:$O$1001,0),0)))</f>
        <v>0</v>
      </c>
      <c r="B984" s="4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4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4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4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4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4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4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4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4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4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OR(AND(IF(metadata!C984="",FALSE,TRUE),OR(exact(metadata!C984,"not applicable"),exact(metadata!C984,"missing: not collected"),exact(metadata!C984,"missing: not provided"),exact(metadata!C984,"missing: restricted access"))),AND(IF(metadata!C984="",FALSE,ISNUMBER(VALUE(metadata!C984))),metadata!C984&gt;0))</f>
        <v>0</v>
      </c>
      <c r="X984">
        <f>AND(IF(metadata!D984="",FALSE,TRUE),exact(metadata!D984,"weeks"))</f>
        <v>0</v>
      </c>
      <c r="Y984">
        <f>AND(IF(metadata!E984="",FALSE,TRUE),exact(metadata!E984,"urban biome"))</f>
        <v>0</v>
      </c>
      <c r="Z984">
        <f>AND(IF(metadata!F984="",FALSE,TRUE),exact(metadata!F984,"animal-associated habitat"))</f>
        <v>0</v>
      </c>
      <c r="AA984">
        <f>AND(IF(metadata!G984="",FALSE,TRUE),exact(metadata!G984,"mouse"))</f>
        <v>0</v>
      </c>
      <c r="AB984">
        <f>AND(IF(metadata!H984="",FALSE,TRUE),exact(metadata!H984,"Mus musculus"))</f>
        <v>0</v>
      </c>
      <c r="AC984">
        <f>AND(IF(metadata!I984="",FALSE,TRUE),exact(metadata!I984,"10090"))</f>
        <v>0</v>
      </c>
      <c r="AD984">
        <f>OR(AND(IF(metadata!J984="",FALSE,TRUE),OR(exact(metadata!J984,"not applicable"),exact(metadata!J984,"missing: not collected"),exact(metadata!J984,"missing: not provided"),exact(metadata!J984,"missing: restricted access"))),AND(IF(metadata!J984="",FALSE,ISNUMBER(VALUE(metadata!J984))),metadata!J984&gt;0))</f>
        <v>0</v>
      </c>
      <c r="AE984">
        <f>AND(IF(metadata!K984="",FALSE,TRUE),exact(metadata!K984,"g"))</f>
        <v>0</v>
      </c>
    </row>
    <row r="985" spans="1:31">
      <c r="A985" s="5">
        <f>IF(B985=" "," ",HYPERLINK(CONCATENATE("#metadata!",ADDRESS(INDEX($Q$2:$Q$1001,MATCH(ROWS($O$2:O985),$O$2:$O$1001,0),0),1)),INDEX($T$2:$T$1001,MATCH(ROWS($O$2:O985),$O$2:$O$1001,0),0)))</f>
        <v>0</v>
      </c>
      <c r="B985" s="4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4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4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4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4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4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4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4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4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4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OR(AND(IF(metadata!C985="",FALSE,TRUE),OR(exact(metadata!C985,"not applicable"),exact(metadata!C985,"missing: not collected"),exact(metadata!C985,"missing: not provided"),exact(metadata!C985,"missing: restricted access"))),AND(IF(metadata!C985="",FALSE,ISNUMBER(VALUE(metadata!C985))),metadata!C985&gt;0))</f>
        <v>0</v>
      </c>
      <c r="X985">
        <f>AND(IF(metadata!D985="",FALSE,TRUE),exact(metadata!D985,"weeks"))</f>
        <v>0</v>
      </c>
      <c r="Y985">
        <f>AND(IF(metadata!E985="",FALSE,TRUE),exact(metadata!E985,"urban biome"))</f>
        <v>0</v>
      </c>
      <c r="Z985">
        <f>AND(IF(metadata!F985="",FALSE,TRUE),exact(metadata!F985,"animal-associated habitat"))</f>
        <v>0</v>
      </c>
      <c r="AA985">
        <f>AND(IF(metadata!G985="",FALSE,TRUE),exact(metadata!G985,"mouse"))</f>
        <v>0</v>
      </c>
      <c r="AB985">
        <f>AND(IF(metadata!H985="",FALSE,TRUE),exact(metadata!H985,"Mus musculus"))</f>
        <v>0</v>
      </c>
      <c r="AC985">
        <f>AND(IF(metadata!I985="",FALSE,TRUE),exact(metadata!I985,"10090"))</f>
        <v>0</v>
      </c>
      <c r="AD985">
        <f>OR(AND(IF(metadata!J985="",FALSE,TRUE),OR(exact(metadata!J985,"not applicable"),exact(metadata!J985,"missing: not collected"),exact(metadata!J985,"missing: not provided"),exact(metadata!J985,"missing: restricted access"))),AND(IF(metadata!J985="",FALSE,ISNUMBER(VALUE(metadata!J985))),metadata!J985&gt;0))</f>
        <v>0</v>
      </c>
      <c r="AE985">
        <f>AND(IF(metadata!K985="",FALSE,TRUE),exact(metadata!K985,"g"))</f>
        <v>0</v>
      </c>
    </row>
    <row r="986" spans="1:31">
      <c r="A986" s="5">
        <f>IF(B986=" "," ",HYPERLINK(CONCATENATE("#metadata!",ADDRESS(INDEX($Q$2:$Q$1001,MATCH(ROWS($O$2:O986),$O$2:$O$1001,0),0),1)),INDEX($T$2:$T$1001,MATCH(ROWS($O$2:O986),$O$2:$O$1001,0),0)))</f>
        <v>0</v>
      </c>
      <c r="B986" s="4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4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4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4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4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4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4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4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4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4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OR(AND(IF(metadata!C986="",FALSE,TRUE),OR(exact(metadata!C986,"not applicable"),exact(metadata!C986,"missing: not collected"),exact(metadata!C986,"missing: not provided"),exact(metadata!C986,"missing: restricted access"))),AND(IF(metadata!C986="",FALSE,ISNUMBER(VALUE(metadata!C986))),metadata!C986&gt;0))</f>
        <v>0</v>
      </c>
      <c r="X986">
        <f>AND(IF(metadata!D986="",FALSE,TRUE),exact(metadata!D986,"weeks"))</f>
        <v>0</v>
      </c>
      <c r="Y986">
        <f>AND(IF(metadata!E986="",FALSE,TRUE),exact(metadata!E986,"urban biome"))</f>
        <v>0</v>
      </c>
      <c r="Z986">
        <f>AND(IF(metadata!F986="",FALSE,TRUE),exact(metadata!F986,"animal-associated habitat"))</f>
        <v>0</v>
      </c>
      <c r="AA986">
        <f>AND(IF(metadata!G986="",FALSE,TRUE),exact(metadata!G986,"mouse"))</f>
        <v>0</v>
      </c>
      <c r="AB986">
        <f>AND(IF(metadata!H986="",FALSE,TRUE),exact(metadata!H986,"Mus musculus"))</f>
        <v>0</v>
      </c>
      <c r="AC986">
        <f>AND(IF(metadata!I986="",FALSE,TRUE),exact(metadata!I986,"10090"))</f>
        <v>0</v>
      </c>
      <c r="AD986">
        <f>OR(AND(IF(metadata!J986="",FALSE,TRUE),OR(exact(metadata!J986,"not applicable"),exact(metadata!J986,"missing: not collected"),exact(metadata!J986,"missing: not provided"),exact(metadata!J986,"missing: restricted access"))),AND(IF(metadata!J986="",FALSE,ISNUMBER(VALUE(metadata!J986))),metadata!J986&gt;0))</f>
        <v>0</v>
      </c>
      <c r="AE986">
        <f>AND(IF(metadata!K986="",FALSE,TRUE),exact(metadata!K986,"g"))</f>
        <v>0</v>
      </c>
    </row>
    <row r="987" spans="1:31">
      <c r="A987" s="5">
        <f>IF(B987=" "," ",HYPERLINK(CONCATENATE("#metadata!",ADDRESS(INDEX($Q$2:$Q$1001,MATCH(ROWS($O$2:O987),$O$2:$O$1001,0),0),1)),INDEX($T$2:$T$1001,MATCH(ROWS($O$2:O987),$O$2:$O$1001,0),0)))</f>
        <v>0</v>
      </c>
      <c r="B987" s="4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4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4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4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4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4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4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4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4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4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OR(AND(IF(metadata!C987="",FALSE,TRUE),OR(exact(metadata!C987,"not applicable"),exact(metadata!C987,"missing: not collected"),exact(metadata!C987,"missing: not provided"),exact(metadata!C987,"missing: restricted access"))),AND(IF(metadata!C987="",FALSE,ISNUMBER(VALUE(metadata!C987))),metadata!C987&gt;0))</f>
        <v>0</v>
      </c>
      <c r="X987">
        <f>AND(IF(metadata!D987="",FALSE,TRUE),exact(metadata!D987,"weeks"))</f>
        <v>0</v>
      </c>
      <c r="Y987">
        <f>AND(IF(metadata!E987="",FALSE,TRUE),exact(metadata!E987,"urban biome"))</f>
        <v>0</v>
      </c>
      <c r="Z987">
        <f>AND(IF(metadata!F987="",FALSE,TRUE),exact(metadata!F987,"animal-associated habitat"))</f>
        <v>0</v>
      </c>
      <c r="AA987">
        <f>AND(IF(metadata!G987="",FALSE,TRUE),exact(metadata!G987,"mouse"))</f>
        <v>0</v>
      </c>
      <c r="AB987">
        <f>AND(IF(metadata!H987="",FALSE,TRUE),exact(metadata!H987,"Mus musculus"))</f>
        <v>0</v>
      </c>
      <c r="AC987">
        <f>AND(IF(metadata!I987="",FALSE,TRUE),exact(metadata!I987,"10090"))</f>
        <v>0</v>
      </c>
      <c r="AD987">
        <f>OR(AND(IF(metadata!J987="",FALSE,TRUE),OR(exact(metadata!J987,"not applicable"),exact(metadata!J987,"missing: not collected"),exact(metadata!J987,"missing: not provided"),exact(metadata!J987,"missing: restricted access"))),AND(IF(metadata!J987="",FALSE,ISNUMBER(VALUE(metadata!J987))),metadata!J987&gt;0))</f>
        <v>0</v>
      </c>
      <c r="AE987">
        <f>AND(IF(metadata!K987="",FALSE,TRUE),exact(metadata!K987,"g"))</f>
        <v>0</v>
      </c>
    </row>
    <row r="988" spans="1:31">
      <c r="A988" s="5">
        <f>IF(B988=" "," ",HYPERLINK(CONCATENATE("#metadata!",ADDRESS(INDEX($Q$2:$Q$1001,MATCH(ROWS($O$2:O988),$O$2:$O$1001,0),0),1)),INDEX($T$2:$T$1001,MATCH(ROWS($O$2:O988),$O$2:$O$1001,0),0)))</f>
        <v>0</v>
      </c>
      <c r="B988" s="4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4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4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4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4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4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4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4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4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4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OR(AND(IF(metadata!C988="",FALSE,TRUE),OR(exact(metadata!C988,"not applicable"),exact(metadata!C988,"missing: not collected"),exact(metadata!C988,"missing: not provided"),exact(metadata!C988,"missing: restricted access"))),AND(IF(metadata!C988="",FALSE,ISNUMBER(VALUE(metadata!C988))),metadata!C988&gt;0))</f>
        <v>0</v>
      </c>
      <c r="X988">
        <f>AND(IF(metadata!D988="",FALSE,TRUE),exact(metadata!D988,"weeks"))</f>
        <v>0</v>
      </c>
      <c r="Y988">
        <f>AND(IF(metadata!E988="",FALSE,TRUE),exact(metadata!E988,"urban biome"))</f>
        <v>0</v>
      </c>
      <c r="Z988">
        <f>AND(IF(metadata!F988="",FALSE,TRUE),exact(metadata!F988,"animal-associated habitat"))</f>
        <v>0</v>
      </c>
      <c r="AA988">
        <f>AND(IF(metadata!G988="",FALSE,TRUE),exact(metadata!G988,"mouse"))</f>
        <v>0</v>
      </c>
      <c r="AB988">
        <f>AND(IF(metadata!H988="",FALSE,TRUE),exact(metadata!H988,"Mus musculus"))</f>
        <v>0</v>
      </c>
      <c r="AC988">
        <f>AND(IF(metadata!I988="",FALSE,TRUE),exact(metadata!I988,"10090"))</f>
        <v>0</v>
      </c>
      <c r="AD988">
        <f>OR(AND(IF(metadata!J988="",FALSE,TRUE),OR(exact(metadata!J988,"not applicable"),exact(metadata!J988,"missing: not collected"),exact(metadata!J988,"missing: not provided"),exact(metadata!J988,"missing: restricted access"))),AND(IF(metadata!J988="",FALSE,ISNUMBER(VALUE(metadata!J988))),metadata!J988&gt;0))</f>
        <v>0</v>
      </c>
      <c r="AE988">
        <f>AND(IF(metadata!K988="",FALSE,TRUE),exact(metadata!K988,"g"))</f>
        <v>0</v>
      </c>
    </row>
    <row r="989" spans="1:31">
      <c r="A989" s="5">
        <f>IF(B989=" "," ",HYPERLINK(CONCATENATE("#metadata!",ADDRESS(INDEX($Q$2:$Q$1001,MATCH(ROWS($O$2:O989),$O$2:$O$1001,0),0),1)),INDEX($T$2:$T$1001,MATCH(ROWS($O$2:O989),$O$2:$O$1001,0),0)))</f>
        <v>0</v>
      </c>
      <c r="B989" s="4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4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4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4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4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4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4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4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4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4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OR(AND(IF(metadata!C989="",FALSE,TRUE),OR(exact(metadata!C989,"not applicable"),exact(metadata!C989,"missing: not collected"),exact(metadata!C989,"missing: not provided"),exact(metadata!C989,"missing: restricted access"))),AND(IF(metadata!C989="",FALSE,ISNUMBER(VALUE(metadata!C989))),metadata!C989&gt;0))</f>
        <v>0</v>
      </c>
      <c r="X989">
        <f>AND(IF(metadata!D989="",FALSE,TRUE),exact(metadata!D989,"weeks"))</f>
        <v>0</v>
      </c>
      <c r="Y989">
        <f>AND(IF(metadata!E989="",FALSE,TRUE),exact(metadata!E989,"urban biome"))</f>
        <v>0</v>
      </c>
      <c r="Z989">
        <f>AND(IF(metadata!F989="",FALSE,TRUE),exact(metadata!F989,"animal-associated habitat"))</f>
        <v>0</v>
      </c>
      <c r="AA989">
        <f>AND(IF(metadata!G989="",FALSE,TRUE),exact(metadata!G989,"mouse"))</f>
        <v>0</v>
      </c>
      <c r="AB989">
        <f>AND(IF(metadata!H989="",FALSE,TRUE),exact(metadata!H989,"Mus musculus"))</f>
        <v>0</v>
      </c>
      <c r="AC989">
        <f>AND(IF(metadata!I989="",FALSE,TRUE),exact(metadata!I989,"10090"))</f>
        <v>0</v>
      </c>
      <c r="AD989">
        <f>OR(AND(IF(metadata!J989="",FALSE,TRUE),OR(exact(metadata!J989,"not applicable"),exact(metadata!J989,"missing: not collected"),exact(metadata!J989,"missing: not provided"),exact(metadata!J989,"missing: restricted access"))),AND(IF(metadata!J989="",FALSE,ISNUMBER(VALUE(metadata!J989))),metadata!J989&gt;0))</f>
        <v>0</v>
      </c>
      <c r="AE989">
        <f>AND(IF(metadata!K989="",FALSE,TRUE),exact(metadata!K989,"g"))</f>
        <v>0</v>
      </c>
    </row>
    <row r="990" spans="1:31">
      <c r="A990" s="5">
        <f>IF(B990=" "," ",HYPERLINK(CONCATENATE("#metadata!",ADDRESS(INDEX($Q$2:$Q$1001,MATCH(ROWS($O$2:O990),$O$2:$O$1001,0),0),1)),INDEX($T$2:$T$1001,MATCH(ROWS($O$2:O990),$O$2:$O$1001,0),0)))</f>
        <v>0</v>
      </c>
      <c r="B990" s="4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4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4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4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4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4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4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4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4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4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OR(AND(IF(metadata!C990="",FALSE,TRUE),OR(exact(metadata!C990,"not applicable"),exact(metadata!C990,"missing: not collected"),exact(metadata!C990,"missing: not provided"),exact(metadata!C990,"missing: restricted access"))),AND(IF(metadata!C990="",FALSE,ISNUMBER(VALUE(metadata!C990))),metadata!C990&gt;0))</f>
        <v>0</v>
      </c>
      <c r="X990">
        <f>AND(IF(metadata!D990="",FALSE,TRUE),exact(metadata!D990,"weeks"))</f>
        <v>0</v>
      </c>
      <c r="Y990">
        <f>AND(IF(metadata!E990="",FALSE,TRUE),exact(metadata!E990,"urban biome"))</f>
        <v>0</v>
      </c>
      <c r="Z990">
        <f>AND(IF(metadata!F990="",FALSE,TRUE),exact(metadata!F990,"animal-associated habitat"))</f>
        <v>0</v>
      </c>
      <c r="AA990">
        <f>AND(IF(metadata!G990="",FALSE,TRUE),exact(metadata!G990,"mouse"))</f>
        <v>0</v>
      </c>
      <c r="AB990">
        <f>AND(IF(metadata!H990="",FALSE,TRUE),exact(metadata!H990,"Mus musculus"))</f>
        <v>0</v>
      </c>
      <c r="AC990">
        <f>AND(IF(metadata!I990="",FALSE,TRUE),exact(metadata!I990,"10090"))</f>
        <v>0</v>
      </c>
      <c r="AD990">
        <f>OR(AND(IF(metadata!J990="",FALSE,TRUE),OR(exact(metadata!J990,"not applicable"),exact(metadata!J990,"missing: not collected"),exact(metadata!J990,"missing: not provided"),exact(metadata!J990,"missing: restricted access"))),AND(IF(metadata!J990="",FALSE,ISNUMBER(VALUE(metadata!J990))),metadata!J990&gt;0))</f>
        <v>0</v>
      </c>
      <c r="AE990">
        <f>AND(IF(metadata!K990="",FALSE,TRUE),exact(metadata!K990,"g"))</f>
        <v>0</v>
      </c>
    </row>
    <row r="991" spans="1:31">
      <c r="A991" s="5">
        <f>IF(B991=" "," ",HYPERLINK(CONCATENATE("#metadata!",ADDRESS(INDEX($Q$2:$Q$1001,MATCH(ROWS($O$2:O991),$O$2:$O$1001,0),0),1)),INDEX($T$2:$T$1001,MATCH(ROWS($O$2:O991),$O$2:$O$1001,0),0)))</f>
        <v>0</v>
      </c>
      <c r="B991" s="4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4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4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4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4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4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4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4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4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4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OR(AND(IF(metadata!C991="",FALSE,TRUE),OR(exact(metadata!C991,"not applicable"),exact(metadata!C991,"missing: not collected"),exact(metadata!C991,"missing: not provided"),exact(metadata!C991,"missing: restricted access"))),AND(IF(metadata!C991="",FALSE,ISNUMBER(VALUE(metadata!C991))),metadata!C991&gt;0))</f>
        <v>0</v>
      </c>
      <c r="X991">
        <f>AND(IF(metadata!D991="",FALSE,TRUE),exact(metadata!D991,"weeks"))</f>
        <v>0</v>
      </c>
      <c r="Y991">
        <f>AND(IF(metadata!E991="",FALSE,TRUE),exact(metadata!E991,"urban biome"))</f>
        <v>0</v>
      </c>
      <c r="Z991">
        <f>AND(IF(metadata!F991="",FALSE,TRUE),exact(metadata!F991,"animal-associated habitat"))</f>
        <v>0</v>
      </c>
      <c r="AA991">
        <f>AND(IF(metadata!G991="",FALSE,TRUE),exact(metadata!G991,"mouse"))</f>
        <v>0</v>
      </c>
      <c r="AB991">
        <f>AND(IF(metadata!H991="",FALSE,TRUE),exact(metadata!H991,"Mus musculus"))</f>
        <v>0</v>
      </c>
      <c r="AC991">
        <f>AND(IF(metadata!I991="",FALSE,TRUE),exact(metadata!I991,"10090"))</f>
        <v>0</v>
      </c>
      <c r="AD991">
        <f>OR(AND(IF(metadata!J991="",FALSE,TRUE),OR(exact(metadata!J991,"not applicable"),exact(metadata!J991,"missing: not collected"),exact(metadata!J991,"missing: not provided"),exact(metadata!J991,"missing: restricted access"))),AND(IF(metadata!J991="",FALSE,ISNUMBER(VALUE(metadata!J991))),metadata!J991&gt;0))</f>
        <v>0</v>
      </c>
      <c r="AE991">
        <f>AND(IF(metadata!K991="",FALSE,TRUE),exact(metadata!K991,"g"))</f>
        <v>0</v>
      </c>
    </row>
    <row r="992" spans="1:31">
      <c r="A992" s="5">
        <f>IF(B992=" "," ",HYPERLINK(CONCATENATE("#metadata!",ADDRESS(INDEX($Q$2:$Q$1001,MATCH(ROWS($O$2:O992),$O$2:$O$1001,0),0),1)),INDEX($T$2:$T$1001,MATCH(ROWS($O$2:O992),$O$2:$O$1001,0),0)))</f>
        <v>0</v>
      </c>
      <c r="B992" s="4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4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4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4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4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4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4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4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4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4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OR(AND(IF(metadata!C992="",FALSE,TRUE),OR(exact(metadata!C992,"not applicable"),exact(metadata!C992,"missing: not collected"),exact(metadata!C992,"missing: not provided"),exact(metadata!C992,"missing: restricted access"))),AND(IF(metadata!C992="",FALSE,ISNUMBER(VALUE(metadata!C992))),metadata!C992&gt;0))</f>
        <v>0</v>
      </c>
      <c r="X992">
        <f>AND(IF(metadata!D992="",FALSE,TRUE),exact(metadata!D992,"weeks"))</f>
        <v>0</v>
      </c>
      <c r="Y992">
        <f>AND(IF(metadata!E992="",FALSE,TRUE),exact(metadata!E992,"urban biome"))</f>
        <v>0</v>
      </c>
      <c r="Z992">
        <f>AND(IF(metadata!F992="",FALSE,TRUE),exact(metadata!F992,"animal-associated habitat"))</f>
        <v>0</v>
      </c>
      <c r="AA992">
        <f>AND(IF(metadata!G992="",FALSE,TRUE),exact(metadata!G992,"mouse"))</f>
        <v>0</v>
      </c>
      <c r="AB992">
        <f>AND(IF(metadata!H992="",FALSE,TRUE),exact(metadata!H992,"Mus musculus"))</f>
        <v>0</v>
      </c>
      <c r="AC992">
        <f>AND(IF(metadata!I992="",FALSE,TRUE),exact(metadata!I992,"10090"))</f>
        <v>0</v>
      </c>
      <c r="AD992">
        <f>OR(AND(IF(metadata!J992="",FALSE,TRUE),OR(exact(metadata!J992,"not applicable"),exact(metadata!J992,"missing: not collected"),exact(metadata!J992,"missing: not provided"),exact(metadata!J992,"missing: restricted access"))),AND(IF(metadata!J992="",FALSE,ISNUMBER(VALUE(metadata!J992))),metadata!J992&gt;0))</f>
        <v>0</v>
      </c>
      <c r="AE992">
        <f>AND(IF(metadata!K992="",FALSE,TRUE),exact(metadata!K992,"g"))</f>
        <v>0</v>
      </c>
    </row>
    <row r="993" spans="1:31">
      <c r="A993" s="5">
        <f>IF(B993=" "," ",HYPERLINK(CONCATENATE("#metadata!",ADDRESS(INDEX($Q$2:$Q$1001,MATCH(ROWS($O$2:O993),$O$2:$O$1001,0),0),1)),INDEX($T$2:$T$1001,MATCH(ROWS($O$2:O993),$O$2:$O$1001,0),0)))</f>
        <v>0</v>
      </c>
      <c r="B993" s="4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4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4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4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4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4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4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4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4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4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OR(AND(IF(metadata!C993="",FALSE,TRUE),OR(exact(metadata!C993,"not applicable"),exact(metadata!C993,"missing: not collected"),exact(metadata!C993,"missing: not provided"),exact(metadata!C993,"missing: restricted access"))),AND(IF(metadata!C993="",FALSE,ISNUMBER(VALUE(metadata!C993))),metadata!C993&gt;0))</f>
        <v>0</v>
      </c>
      <c r="X993">
        <f>AND(IF(metadata!D993="",FALSE,TRUE),exact(metadata!D993,"weeks"))</f>
        <v>0</v>
      </c>
      <c r="Y993">
        <f>AND(IF(metadata!E993="",FALSE,TRUE),exact(metadata!E993,"urban biome"))</f>
        <v>0</v>
      </c>
      <c r="Z993">
        <f>AND(IF(metadata!F993="",FALSE,TRUE),exact(metadata!F993,"animal-associated habitat"))</f>
        <v>0</v>
      </c>
      <c r="AA993">
        <f>AND(IF(metadata!G993="",FALSE,TRUE),exact(metadata!G993,"mouse"))</f>
        <v>0</v>
      </c>
      <c r="AB993">
        <f>AND(IF(metadata!H993="",FALSE,TRUE),exact(metadata!H993,"Mus musculus"))</f>
        <v>0</v>
      </c>
      <c r="AC993">
        <f>AND(IF(metadata!I993="",FALSE,TRUE),exact(metadata!I993,"10090"))</f>
        <v>0</v>
      </c>
      <c r="AD993">
        <f>OR(AND(IF(metadata!J993="",FALSE,TRUE),OR(exact(metadata!J993,"not applicable"),exact(metadata!J993,"missing: not collected"),exact(metadata!J993,"missing: not provided"),exact(metadata!J993,"missing: restricted access"))),AND(IF(metadata!J993="",FALSE,ISNUMBER(VALUE(metadata!J993))),metadata!J993&gt;0))</f>
        <v>0</v>
      </c>
      <c r="AE993">
        <f>AND(IF(metadata!K993="",FALSE,TRUE),exact(metadata!K993,"g"))</f>
        <v>0</v>
      </c>
    </row>
    <row r="994" spans="1:31">
      <c r="A994" s="5">
        <f>IF(B994=" "," ",HYPERLINK(CONCATENATE("#metadata!",ADDRESS(INDEX($Q$2:$Q$1001,MATCH(ROWS($O$2:O994),$O$2:$O$1001,0),0),1)),INDEX($T$2:$T$1001,MATCH(ROWS($O$2:O994),$O$2:$O$1001,0),0)))</f>
        <v>0</v>
      </c>
      <c r="B994" s="4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4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4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4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4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4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4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4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4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4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OR(AND(IF(metadata!C994="",FALSE,TRUE),OR(exact(metadata!C994,"not applicable"),exact(metadata!C994,"missing: not collected"),exact(metadata!C994,"missing: not provided"),exact(metadata!C994,"missing: restricted access"))),AND(IF(metadata!C994="",FALSE,ISNUMBER(VALUE(metadata!C994))),metadata!C994&gt;0))</f>
        <v>0</v>
      </c>
      <c r="X994">
        <f>AND(IF(metadata!D994="",FALSE,TRUE),exact(metadata!D994,"weeks"))</f>
        <v>0</v>
      </c>
      <c r="Y994">
        <f>AND(IF(metadata!E994="",FALSE,TRUE),exact(metadata!E994,"urban biome"))</f>
        <v>0</v>
      </c>
      <c r="Z994">
        <f>AND(IF(metadata!F994="",FALSE,TRUE),exact(metadata!F994,"animal-associated habitat"))</f>
        <v>0</v>
      </c>
      <c r="AA994">
        <f>AND(IF(metadata!G994="",FALSE,TRUE),exact(metadata!G994,"mouse"))</f>
        <v>0</v>
      </c>
      <c r="AB994">
        <f>AND(IF(metadata!H994="",FALSE,TRUE),exact(metadata!H994,"Mus musculus"))</f>
        <v>0</v>
      </c>
      <c r="AC994">
        <f>AND(IF(metadata!I994="",FALSE,TRUE),exact(metadata!I994,"10090"))</f>
        <v>0</v>
      </c>
      <c r="AD994">
        <f>OR(AND(IF(metadata!J994="",FALSE,TRUE),OR(exact(metadata!J994,"not applicable"),exact(metadata!J994,"missing: not collected"),exact(metadata!J994,"missing: not provided"),exact(metadata!J994,"missing: restricted access"))),AND(IF(metadata!J994="",FALSE,ISNUMBER(VALUE(metadata!J994))),metadata!J994&gt;0))</f>
        <v>0</v>
      </c>
      <c r="AE994">
        <f>AND(IF(metadata!K994="",FALSE,TRUE),exact(metadata!K994,"g"))</f>
        <v>0</v>
      </c>
    </row>
    <row r="995" spans="1:31">
      <c r="A995" s="5">
        <f>IF(B995=" "," ",HYPERLINK(CONCATENATE("#metadata!",ADDRESS(INDEX($Q$2:$Q$1001,MATCH(ROWS($O$2:O995),$O$2:$O$1001,0),0),1)),INDEX($T$2:$T$1001,MATCH(ROWS($O$2:O995),$O$2:$O$1001,0),0)))</f>
        <v>0</v>
      </c>
      <c r="B995" s="4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4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4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4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4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4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4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4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4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4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OR(AND(IF(metadata!C995="",FALSE,TRUE),OR(exact(metadata!C995,"not applicable"),exact(metadata!C995,"missing: not collected"),exact(metadata!C995,"missing: not provided"),exact(metadata!C995,"missing: restricted access"))),AND(IF(metadata!C995="",FALSE,ISNUMBER(VALUE(metadata!C995))),metadata!C995&gt;0))</f>
        <v>0</v>
      </c>
      <c r="X995">
        <f>AND(IF(metadata!D995="",FALSE,TRUE),exact(metadata!D995,"weeks"))</f>
        <v>0</v>
      </c>
      <c r="Y995">
        <f>AND(IF(metadata!E995="",FALSE,TRUE),exact(metadata!E995,"urban biome"))</f>
        <v>0</v>
      </c>
      <c r="Z995">
        <f>AND(IF(metadata!F995="",FALSE,TRUE),exact(metadata!F995,"animal-associated habitat"))</f>
        <v>0</v>
      </c>
      <c r="AA995">
        <f>AND(IF(metadata!G995="",FALSE,TRUE),exact(metadata!G995,"mouse"))</f>
        <v>0</v>
      </c>
      <c r="AB995">
        <f>AND(IF(metadata!H995="",FALSE,TRUE),exact(metadata!H995,"Mus musculus"))</f>
        <v>0</v>
      </c>
      <c r="AC995">
        <f>AND(IF(metadata!I995="",FALSE,TRUE),exact(metadata!I995,"10090"))</f>
        <v>0</v>
      </c>
      <c r="AD995">
        <f>OR(AND(IF(metadata!J995="",FALSE,TRUE),OR(exact(metadata!J995,"not applicable"),exact(metadata!J995,"missing: not collected"),exact(metadata!J995,"missing: not provided"),exact(metadata!J995,"missing: restricted access"))),AND(IF(metadata!J995="",FALSE,ISNUMBER(VALUE(metadata!J995))),metadata!J995&gt;0))</f>
        <v>0</v>
      </c>
      <c r="AE995">
        <f>AND(IF(metadata!K995="",FALSE,TRUE),exact(metadata!K995,"g"))</f>
        <v>0</v>
      </c>
    </row>
    <row r="996" spans="1:31">
      <c r="A996" s="5">
        <f>IF(B996=" "," ",HYPERLINK(CONCATENATE("#metadata!",ADDRESS(INDEX($Q$2:$Q$1001,MATCH(ROWS($O$2:O996),$O$2:$O$1001,0),0),1)),INDEX($T$2:$T$1001,MATCH(ROWS($O$2:O996),$O$2:$O$1001,0),0)))</f>
        <v>0</v>
      </c>
      <c r="B996" s="4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4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4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4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4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4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4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4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4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4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OR(AND(IF(metadata!C996="",FALSE,TRUE),OR(exact(metadata!C996,"not applicable"),exact(metadata!C996,"missing: not collected"),exact(metadata!C996,"missing: not provided"),exact(metadata!C996,"missing: restricted access"))),AND(IF(metadata!C996="",FALSE,ISNUMBER(VALUE(metadata!C996))),metadata!C996&gt;0))</f>
        <v>0</v>
      </c>
      <c r="X996">
        <f>AND(IF(metadata!D996="",FALSE,TRUE),exact(metadata!D996,"weeks"))</f>
        <v>0</v>
      </c>
      <c r="Y996">
        <f>AND(IF(metadata!E996="",FALSE,TRUE),exact(metadata!E996,"urban biome"))</f>
        <v>0</v>
      </c>
      <c r="Z996">
        <f>AND(IF(metadata!F996="",FALSE,TRUE),exact(metadata!F996,"animal-associated habitat"))</f>
        <v>0</v>
      </c>
      <c r="AA996">
        <f>AND(IF(metadata!G996="",FALSE,TRUE),exact(metadata!G996,"mouse"))</f>
        <v>0</v>
      </c>
      <c r="AB996">
        <f>AND(IF(metadata!H996="",FALSE,TRUE),exact(metadata!H996,"Mus musculus"))</f>
        <v>0</v>
      </c>
      <c r="AC996">
        <f>AND(IF(metadata!I996="",FALSE,TRUE),exact(metadata!I996,"10090"))</f>
        <v>0</v>
      </c>
      <c r="AD996">
        <f>OR(AND(IF(metadata!J996="",FALSE,TRUE),OR(exact(metadata!J996,"not applicable"),exact(metadata!J996,"missing: not collected"),exact(metadata!J996,"missing: not provided"),exact(metadata!J996,"missing: restricted access"))),AND(IF(metadata!J996="",FALSE,ISNUMBER(VALUE(metadata!J996))),metadata!J996&gt;0))</f>
        <v>0</v>
      </c>
      <c r="AE996">
        <f>AND(IF(metadata!K996="",FALSE,TRUE),exact(metadata!K996,"g"))</f>
        <v>0</v>
      </c>
    </row>
    <row r="997" spans="1:31">
      <c r="A997" s="5">
        <f>IF(B997=" "," ",HYPERLINK(CONCATENATE("#metadata!",ADDRESS(INDEX($Q$2:$Q$1001,MATCH(ROWS($O$2:O997),$O$2:$O$1001,0),0),1)),INDEX($T$2:$T$1001,MATCH(ROWS($O$2:O997),$O$2:$O$1001,0),0)))</f>
        <v>0</v>
      </c>
      <c r="B997" s="4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4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4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4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4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4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4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4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4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4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OR(AND(IF(metadata!C997="",FALSE,TRUE),OR(exact(metadata!C997,"not applicable"),exact(metadata!C997,"missing: not collected"),exact(metadata!C997,"missing: not provided"),exact(metadata!C997,"missing: restricted access"))),AND(IF(metadata!C997="",FALSE,ISNUMBER(VALUE(metadata!C997))),metadata!C997&gt;0))</f>
        <v>0</v>
      </c>
      <c r="X997">
        <f>AND(IF(metadata!D997="",FALSE,TRUE),exact(metadata!D997,"weeks"))</f>
        <v>0</v>
      </c>
      <c r="Y997">
        <f>AND(IF(metadata!E997="",FALSE,TRUE),exact(metadata!E997,"urban biome"))</f>
        <v>0</v>
      </c>
      <c r="Z997">
        <f>AND(IF(metadata!F997="",FALSE,TRUE),exact(metadata!F997,"animal-associated habitat"))</f>
        <v>0</v>
      </c>
      <c r="AA997">
        <f>AND(IF(metadata!G997="",FALSE,TRUE),exact(metadata!G997,"mouse"))</f>
        <v>0</v>
      </c>
      <c r="AB997">
        <f>AND(IF(metadata!H997="",FALSE,TRUE),exact(metadata!H997,"Mus musculus"))</f>
        <v>0</v>
      </c>
      <c r="AC997">
        <f>AND(IF(metadata!I997="",FALSE,TRUE),exact(metadata!I997,"10090"))</f>
        <v>0</v>
      </c>
      <c r="AD997">
        <f>OR(AND(IF(metadata!J997="",FALSE,TRUE),OR(exact(metadata!J997,"not applicable"),exact(metadata!J997,"missing: not collected"),exact(metadata!J997,"missing: not provided"),exact(metadata!J997,"missing: restricted access"))),AND(IF(metadata!J997="",FALSE,ISNUMBER(VALUE(metadata!J997))),metadata!J997&gt;0))</f>
        <v>0</v>
      </c>
      <c r="AE997">
        <f>AND(IF(metadata!K997="",FALSE,TRUE),exact(metadata!K997,"g"))</f>
        <v>0</v>
      </c>
    </row>
    <row r="998" spans="1:31">
      <c r="A998" s="5">
        <f>IF(B998=" "," ",HYPERLINK(CONCATENATE("#metadata!",ADDRESS(INDEX($Q$2:$Q$1001,MATCH(ROWS($O$2:O998),$O$2:$O$1001,0),0),1)),INDEX($T$2:$T$1001,MATCH(ROWS($O$2:O998),$O$2:$O$1001,0),0)))</f>
        <v>0</v>
      </c>
      <c r="B998" s="4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4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4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4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4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4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4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4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4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4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OR(AND(IF(metadata!C998="",FALSE,TRUE),OR(exact(metadata!C998,"not applicable"),exact(metadata!C998,"missing: not collected"),exact(metadata!C998,"missing: not provided"),exact(metadata!C998,"missing: restricted access"))),AND(IF(metadata!C998="",FALSE,ISNUMBER(VALUE(metadata!C998))),metadata!C998&gt;0))</f>
        <v>0</v>
      </c>
      <c r="X998">
        <f>AND(IF(metadata!D998="",FALSE,TRUE),exact(metadata!D998,"weeks"))</f>
        <v>0</v>
      </c>
      <c r="Y998">
        <f>AND(IF(metadata!E998="",FALSE,TRUE),exact(metadata!E998,"urban biome"))</f>
        <v>0</v>
      </c>
      <c r="Z998">
        <f>AND(IF(metadata!F998="",FALSE,TRUE),exact(metadata!F998,"animal-associated habitat"))</f>
        <v>0</v>
      </c>
      <c r="AA998">
        <f>AND(IF(metadata!G998="",FALSE,TRUE),exact(metadata!G998,"mouse"))</f>
        <v>0</v>
      </c>
      <c r="AB998">
        <f>AND(IF(metadata!H998="",FALSE,TRUE),exact(metadata!H998,"Mus musculus"))</f>
        <v>0</v>
      </c>
      <c r="AC998">
        <f>AND(IF(metadata!I998="",FALSE,TRUE),exact(metadata!I998,"10090"))</f>
        <v>0</v>
      </c>
      <c r="AD998">
        <f>OR(AND(IF(metadata!J998="",FALSE,TRUE),OR(exact(metadata!J998,"not applicable"),exact(metadata!J998,"missing: not collected"),exact(metadata!J998,"missing: not provided"),exact(metadata!J998,"missing: restricted access"))),AND(IF(metadata!J998="",FALSE,ISNUMBER(VALUE(metadata!J998))),metadata!J998&gt;0))</f>
        <v>0</v>
      </c>
      <c r="AE998">
        <f>AND(IF(metadata!K998="",FALSE,TRUE),exact(metadata!K998,"g"))</f>
        <v>0</v>
      </c>
    </row>
    <row r="999" spans="1:31">
      <c r="A999" s="5">
        <f>IF(B999=" "," ",HYPERLINK(CONCATENATE("#metadata!",ADDRESS(INDEX($Q$2:$Q$1001,MATCH(ROWS($O$2:O999),$O$2:$O$1001,0),0),1)),INDEX($T$2:$T$1001,MATCH(ROWS($O$2:O999),$O$2:$O$1001,0),0)))</f>
        <v>0</v>
      </c>
      <c r="B999" s="4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4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4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4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4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4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4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4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4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4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OR(AND(IF(metadata!C999="",FALSE,TRUE),OR(exact(metadata!C999,"not applicable"),exact(metadata!C999,"missing: not collected"),exact(metadata!C999,"missing: not provided"),exact(metadata!C999,"missing: restricted access"))),AND(IF(metadata!C999="",FALSE,ISNUMBER(VALUE(metadata!C999))),metadata!C999&gt;0))</f>
        <v>0</v>
      </c>
      <c r="X999">
        <f>AND(IF(metadata!D999="",FALSE,TRUE),exact(metadata!D999,"weeks"))</f>
        <v>0</v>
      </c>
      <c r="Y999">
        <f>AND(IF(metadata!E999="",FALSE,TRUE),exact(metadata!E999,"urban biome"))</f>
        <v>0</v>
      </c>
      <c r="Z999">
        <f>AND(IF(metadata!F999="",FALSE,TRUE),exact(metadata!F999,"animal-associated habitat"))</f>
        <v>0</v>
      </c>
      <c r="AA999">
        <f>AND(IF(metadata!G999="",FALSE,TRUE),exact(metadata!G999,"mouse"))</f>
        <v>0</v>
      </c>
      <c r="AB999">
        <f>AND(IF(metadata!H999="",FALSE,TRUE),exact(metadata!H999,"Mus musculus"))</f>
        <v>0</v>
      </c>
      <c r="AC999">
        <f>AND(IF(metadata!I999="",FALSE,TRUE),exact(metadata!I999,"10090"))</f>
        <v>0</v>
      </c>
      <c r="AD999">
        <f>OR(AND(IF(metadata!J999="",FALSE,TRUE),OR(exact(metadata!J999,"not applicable"),exact(metadata!J999,"missing: not collected"),exact(metadata!J999,"missing: not provided"),exact(metadata!J999,"missing: restricted access"))),AND(IF(metadata!J999="",FALSE,ISNUMBER(VALUE(metadata!J999))),metadata!J999&gt;0))</f>
        <v>0</v>
      </c>
      <c r="AE999">
        <f>AND(IF(metadata!K999="",FALSE,TRUE),exact(metadata!K999,"g"))</f>
        <v>0</v>
      </c>
    </row>
    <row r="1000" spans="1:31">
      <c r="A1000" s="5">
        <f>IF(B1000=" "," ",HYPERLINK(CONCATENATE("#metadata!",ADDRESS(INDEX($Q$2:$Q$1001,MATCH(ROWS($O$2:O1000),$O$2:$O$1001,0),0),1)),INDEX($T$2:$T$1001,MATCH(ROWS($O$2:O1000),$O$2:$O$1001,0),0)))</f>
        <v>0</v>
      </c>
      <c r="B1000" s="4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4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4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4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4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4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4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4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4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4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OR(AND(IF(metadata!C1000="",FALSE,TRUE),OR(exact(metadata!C1000,"not applicable"),exact(metadata!C1000,"missing: not collected"),exact(metadata!C1000,"missing: not provided"),exact(metadata!C1000,"missing: restricted access"))),AND(IF(metadata!C1000="",FALSE,ISNUMBER(VALUE(metadata!C1000))),metadata!C1000&gt;0))</f>
        <v>0</v>
      </c>
      <c r="X1000">
        <f>AND(IF(metadata!D1000="",FALSE,TRUE),exact(metadata!D1000,"weeks"))</f>
        <v>0</v>
      </c>
      <c r="Y1000">
        <f>AND(IF(metadata!E1000="",FALSE,TRUE),exact(metadata!E1000,"urban biome"))</f>
        <v>0</v>
      </c>
      <c r="Z1000">
        <f>AND(IF(metadata!F1000="",FALSE,TRUE),exact(metadata!F1000,"animal-associated habitat"))</f>
        <v>0</v>
      </c>
      <c r="AA1000">
        <f>AND(IF(metadata!G1000="",FALSE,TRUE),exact(metadata!G1000,"mouse"))</f>
        <v>0</v>
      </c>
      <c r="AB1000">
        <f>AND(IF(metadata!H1000="",FALSE,TRUE),exact(metadata!H1000,"Mus musculus"))</f>
        <v>0</v>
      </c>
      <c r="AC1000">
        <f>AND(IF(metadata!I1000="",FALSE,TRUE),exact(metadata!I1000,"10090"))</f>
        <v>0</v>
      </c>
      <c r="AD1000">
        <f>OR(AND(IF(metadata!J1000="",FALSE,TRUE),OR(exact(metadata!J1000,"not applicable"),exact(metadata!J1000,"missing: not collected"),exact(metadata!J1000,"missing: not provided"),exact(metadata!J1000,"missing: restricted access"))),AND(IF(metadata!J1000="",FALSE,ISNUMBER(VALUE(metadata!J1000))),metadata!J1000&gt;0))</f>
        <v>0</v>
      </c>
      <c r="AE1000">
        <f>AND(IF(metadata!K1000="",FALSE,TRUE),exact(metadata!K1000,"g"))</f>
        <v>0</v>
      </c>
    </row>
    <row r="1001" spans="1:31">
      <c r="A1001" s="5">
        <f>IF(B1001=" "," ",HYPERLINK(CONCATENATE("#metadata!",ADDRESS(INDEX($Q$2:$Q$1001,MATCH(ROWS($O$2:O1001),$O$2:$O$1001,0),0),1)),INDEX($T$2:$T$1001,MATCH(ROWS($O$2:O1001),$O$2:$O$1001,0),0)))</f>
        <v>0</v>
      </c>
      <c r="B1001" s="4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4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4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4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4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4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4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4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4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4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OR(AND(IF(metadata!C1001="",FALSE,TRUE),OR(exact(metadata!C1001,"not applicable"),exact(metadata!C1001,"missing: not collected"),exact(metadata!C1001,"missing: not provided"),exact(metadata!C1001,"missing: restricted access"))),AND(IF(metadata!C1001="",FALSE,ISNUMBER(VALUE(metadata!C1001))),metadata!C1001&gt;0))</f>
        <v>0</v>
      </c>
      <c r="X1001">
        <f>AND(IF(metadata!D1001="",FALSE,TRUE),exact(metadata!D1001,"weeks"))</f>
        <v>0</v>
      </c>
      <c r="Y1001">
        <f>AND(IF(metadata!E1001="",FALSE,TRUE),exact(metadata!E1001,"urban biome"))</f>
        <v>0</v>
      </c>
      <c r="Z1001">
        <f>AND(IF(metadata!F1001="",FALSE,TRUE),exact(metadata!F1001,"animal-associated habitat"))</f>
        <v>0</v>
      </c>
      <c r="AA1001">
        <f>AND(IF(metadata!G1001="",FALSE,TRUE),exact(metadata!G1001,"mouse"))</f>
        <v>0</v>
      </c>
      <c r="AB1001">
        <f>AND(IF(metadata!H1001="",FALSE,TRUE),exact(metadata!H1001,"Mus musculus"))</f>
        <v>0</v>
      </c>
      <c r="AC1001">
        <f>AND(IF(metadata!I1001="",FALSE,TRUE),exact(metadata!I1001,"10090"))</f>
        <v>0</v>
      </c>
      <c r="AD1001">
        <f>OR(AND(IF(metadata!J1001="",FALSE,TRUE),OR(exact(metadata!J1001,"not applicable"),exact(metadata!J1001,"missing: not collected"),exact(metadata!J1001,"missing: not provided"),exact(metadata!J1001,"missing: restricted access"))),AND(IF(metadata!J1001="",FALSE,ISNUMBER(VALUE(metadata!J1001))),metadata!J1001&gt;0))</f>
        <v>0</v>
      </c>
      <c r="AE1001">
        <f>AND(IF(metadata!K1001="",FALSE,TRUE),exact(metadata!K1001,"g"))</f>
        <v>0</v>
      </c>
    </row>
    <row r="1003" spans="1:31">
      <c r="U1003" s="3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3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3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3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21</v>
      </c>
      <c r="B1" s="3" t="s">
        <v>22</v>
      </c>
    </row>
    <row r="2" spans="1:2">
      <c r="A2" s="3" t="s">
        <v>1</v>
      </c>
      <c r="B2" t="s">
        <v>23</v>
      </c>
    </row>
    <row r="3" spans="1:2">
      <c r="A3" s="3" t="s">
        <v>3</v>
      </c>
      <c r="B3" t="s">
        <v>24</v>
      </c>
    </row>
    <row r="4" spans="1:2">
      <c r="A4" s="3" t="s">
        <v>4</v>
      </c>
      <c r="B4" t="s">
        <v>25</v>
      </c>
    </row>
    <row r="5" spans="1:2">
      <c r="A5" s="3" t="s">
        <v>5</v>
      </c>
      <c r="B5" t="s">
        <v>26</v>
      </c>
    </row>
    <row r="6" spans="1:2">
      <c r="A6" s="3" t="s">
        <v>6</v>
      </c>
      <c r="B6" t="s">
        <v>27</v>
      </c>
    </row>
    <row r="7" spans="1:2">
      <c r="A7" s="3" t="s">
        <v>7</v>
      </c>
      <c r="B7" t="s">
        <v>28</v>
      </c>
    </row>
    <row r="8" spans="1:2">
      <c r="A8" s="3" t="s">
        <v>8</v>
      </c>
      <c r="B8" t="s">
        <v>29</v>
      </c>
    </row>
    <row r="9" spans="1:2">
      <c r="A9" s="3" t="s">
        <v>9</v>
      </c>
      <c r="B9" t="s">
        <v>30</v>
      </c>
    </row>
    <row r="10" spans="1:2">
      <c r="A10" s="3" t="s">
        <v>10</v>
      </c>
      <c r="B10" t="s">
        <v>31</v>
      </c>
    </row>
    <row r="11" spans="1:2">
      <c r="A11" s="3" t="s">
        <v>11</v>
      </c>
      <c r="B11" t="s">
        <v>32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2018-01-05T18:54:49Z</dcterms:created>
  <dcterms:modified xsi:type="dcterms:W3CDTF">2018-01-05T18:54:49Z</dcterms:modified>
</cp:coreProperties>
</file>